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drawings/drawing4.xml" ContentType="application/vnd.openxmlformats-officedocument.drawing+xml"/>
  <Override PartName="/xl/ctrlProps/ctrlProp5.xml" ContentType="application/vnd.ms-excel.controlproperties+xml"/>
  <Override PartName="/xl/drawings/drawing5.xml" ContentType="application/vnd.openxmlformats-officedocument.drawing+xml"/>
  <Override PartName="/xl/ctrlProps/ctrlProp6.xml" ContentType="application/vnd.ms-excel.controlproperties+xml"/>
  <Override PartName="/xl/drawings/drawing6.xml" ContentType="application/vnd.openxmlformats-officedocument.drawing+xml"/>
  <Override PartName="/xl/ctrlProps/ctrlProp7.xml" ContentType="application/vnd.ms-excel.controlproperties+xml"/>
  <Override PartName="/xl/drawings/drawing7.xml" ContentType="application/vnd.openxmlformats-officedocument.drawing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Fichiers pour site\"/>
    </mc:Choice>
  </mc:AlternateContent>
  <xr:revisionPtr revIDLastSave="0" documentId="13_ncr:1_{7375EFDA-E7E2-4A2F-90FA-6E95A41D7683}" xr6:coauthVersionLast="40" xr6:coauthVersionMax="40" xr10:uidLastSave="{00000000-0000-0000-0000-000000000000}"/>
  <workbookProtection workbookAlgorithmName="SHA-512" workbookHashValue="0Y2ZTX8VoK9X7R4aYlxo+FI3V3OtJ3Yg1YXEv+NFc0/5iuUZZLpu6BadPH3xMBBI95bj5Jp9uFKgzfOFG7zGSg==" workbookSaltValue="8Np4Vc5ROaO+MY1dYaxSsg==" workbookSpinCount="100000" lockStructure="1"/>
  <bookViews>
    <workbookView xWindow="678" yWindow="508" windowWidth="22265" windowHeight="11847" xr2:uid="{976DC90F-1139-418F-9E47-3414BFD31C67}"/>
  </bookViews>
  <sheets>
    <sheet name="Mode d'emploi" sheetId="12" r:id="rId1"/>
    <sheet name="Calendrier" sheetId="1" r:id="rId2"/>
    <sheet name="Jours Fér. Lu" sheetId="6" r:id="rId3"/>
    <sheet name="Jours Fér. Be" sheetId="7" r:id="rId4"/>
    <sheet name="Jours Fér. Fr" sheetId="8" r:id="rId5"/>
    <sheet name="Jours Fér. All" sheetId="9" r:id="rId6"/>
    <sheet name="Jours Fér. Pt" sheetId="13" r:id="rId7"/>
    <sheet name="J. F. + Vac. Scol. Lux" sheetId="11" r:id="rId8"/>
    <sheet name="Jours fériés" sheetId="2" r:id="rId9"/>
    <sheet name="Mode emploi calcul JF" sheetId="14" state="hidden" r:id="rId10"/>
  </sheets>
  <definedNames>
    <definedName name="Anoall">'Jours Fér. All'!$K$3</definedName>
    <definedName name="Anobe">'Jours Fér. Be'!$K$3</definedName>
    <definedName name="Anofr">'Jours Fér. Fr'!$K$3</definedName>
    <definedName name="Anolu">'Jours Fér. Lu'!$K$3</definedName>
    <definedName name="Anopri">Calendrier!$K$3</definedName>
    <definedName name="Anopt">'Jours Fér. Pt'!$K$3</definedName>
    <definedName name="Anovaclu">'J. F. + Vac. Scol. Lux'!$K$3</definedName>
    <definedName name="déb_ca_1" localSheetId="9">'Mode emploi calcul JF'!$D$33</definedName>
    <definedName name="déb_ca_1">'Jours fériés'!$D$33</definedName>
    <definedName name="déb_ca_2" localSheetId="9">'Mode emploi calcul JF'!$D$41</definedName>
    <definedName name="déb_ca_2">'Jours fériés'!$D$41</definedName>
    <definedName name="déb_ca_3" localSheetId="9">'Mode emploi calcul JF'!$D$49</definedName>
    <definedName name="déb_ca_3">'Jours fériés'!$D$49</definedName>
    <definedName name="déb_été_1" localSheetId="9">'Mode emploi calcul JF'!$G$33</definedName>
    <definedName name="déb_été_1">'Jours fériés'!$G$33</definedName>
    <definedName name="déb_été_2" localSheetId="9">'Mode emploi calcul JF'!$G$41</definedName>
    <definedName name="déb_été_2">'Jours fériés'!$G$41</definedName>
    <definedName name="déb_été_3" localSheetId="9">'Mode emploi calcul JF'!$G$49</definedName>
    <definedName name="déb_été_3">'Jours fériés'!$G$49</definedName>
    <definedName name="déb_no_1" localSheetId="9">'Mode emploi calcul JF'!$C$33</definedName>
    <definedName name="déb_no_1">'Jours fériés'!$C$33</definedName>
    <definedName name="déb_no_2" localSheetId="9">'Mode emploi calcul JF'!$C$41</definedName>
    <definedName name="déb_no_2">'Jours fériés'!$C$41</definedName>
    <definedName name="déb_no_3" localSheetId="9">'Mode emploi calcul JF'!$C$49</definedName>
    <definedName name="déb_no_3">'Jours fériés'!$C$49</definedName>
    <definedName name="déb_pa_1" localSheetId="9">'Mode emploi calcul JF'!$E$33</definedName>
    <definedName name="déb_pa_1">'Jours fériés'!$E$33</definedName>
    <definedName name="déb_pa_2" localSheetId="9">'Mode emploi calcul JF'!$E$41</definedName>
    <definedName name="déb_pa_2">'Jours fériés'!$E$41</definedName>
    <definedName name="déb_pa_3" localSheetId="9">'Mode emploi calcul JF'!$E$49</definedName>
    <definedName name="déb_pa_3">'Jours fériés'!$E$49</definedName>
    <definedName name="déb_pe_1" localSheetId="9">'Mode emploi calcul JF'!$F$33</definedName>
    <definedName name="déb_pe_1">'Jours fériés'!$F$33</definedName>
    <definedName name="déb_pe_2" localSheetId="9">'Mode emploi calcul JF'!$F$41</definedName>
    <definedName name="déb_pe_2">'Jours fériés'!$F$41</definedName>
    <definedName name="déb_pe_3" localSheetId="9">'Mode emploi calcul JF'!$F$49</definedName>
    <definedName name="déb_pe_3">'Jours fériés'!$F$49</definedName>
    <definedName name="déb_to_1" localSheetId="9">'Mode emploi calcul JF'!$H$33</definedName>
    <definedName name="déb_to_1">'Jours fériés'!$H$33</definedName>
    <definedName name="déb_to_2" localSheetId="9">'Mode emploi calcul JF'!$H$41</definedName>
    <definedName name="déb_to_2">'Jours fériés'!$H$41</definedName>
    <definedName name="déb_to_3" localSheetId="9">'Mode emploi calcul JF'!$H$49</definedName>
    <definedName name="déb_to_3">'Jours fériés'!$H$49</definedName>
    <definedName name="Débutsemall">'Jours Fér. All'!$J$5</definedName>
    <definedName name="Débutsembe">'Jours Fér. Be'!$J$5</definedName>
    <definedName name="Débutsemfr">'Jours Fér. Fr'!$J$5</definedName>
    <definedName name="Débutsemlu">'Jours Fér. Lu'!$J$5</definedName>
    <definedName name="Débutsempri">Calendrier!$J$5</definedName>
    <definedName name="Débutsempt">'Jours Fér. Pt'!$J$5</definedName>
    <definedName name="Débutsemvaclu">'J. F. + Vac. Scol. Lux'!$J$5</definedName>
    <definedName name="fin_ca_1" localSheetId="9">'Mode emploi calcul JF'!$D$34</definedName>
    <definedName name="fin_ca_1">'Jours fériés'!$D$34</definedName>
    <definedName name="fin_ca_2" localSheetId="9">'Mode emploi calcul JF'!$D$42</definedName>
    <definedName name="fin_ca_2">'Jours fériés'!$D$42</definedName>
    <definedName name="fin_ca_3" localSheetId="9">'Mode emploi calcul JF'!$D$50</definedName>
    <definedName name="fin_ca_3">'Jours fériés'!$D$50</definedName>
    <definedName name="fin_été_1" localSheetId="9">'Mode emploi calcul JF'!$G$34</definedName>
    <definedName name="fin_été_1">'Jours fériés'!$G$34</definedName>
    <definedName name="fin_été_2" localSheetId="9">'Mode emploi calcul JF'!$G$42</definedName>
    <definedName name="fin_été_2">'Jours fériés'!$G$42</definedName>
    <definedName name="fin_été_3" localSheetId="9">'Mode emploi calcul JF'!$G$50</definedName>
    <definedName name="fin_été_3">'Jours fériés'!$G$50</definedName>
    <definedName name="fin_no_1" localSheetId="9">'Mode emploi calcul JF'!$C$34</definedName>
    <definedName name="fin_no_1">'Jours fériés'!$C$34</definedName>
    <definedName name="fin_no_2" localSheetId="9">'Mode emploi calcul JF'!$C$42</definedName>
    <definedName name="fin_no_2">'Jours fériés'!$C$42</definedName>
    <definedName name="fin_no_3" localSheetId="9">'Mode emploi calcul JF'!$C$50</definedName>
    <definedName name="fin_no_3">'Jours fériés'!$C$50</definedName>
    <definedName name="fin_pa_1" localSheetId="9">'Mode emploi calcul JF'!$E$34</definedName>
    <definedName name="fin_pa_1">'Jours fériés'!$E$34</definedName>
    <definedName name="fin_pa_2" localSheetId="9">'Mode emploi calcul JF'!$E$42</definedName>
    <definedName name="fin_pa_2">'Jours fériés'!$E$42</definedName>
    <definedName name="fin_pa_3" localSheetId="9">'Mode emploi calcul JF'!$E$50</definedName>
    <definedName name="fin_pa_3">'Jours fériés'!$E$50</definedName>
    <definedName name="fin_pe_1" localSheetId="9">'Mode emploi calcul JF'!$F$34</definedName>
    <definedName name="fin_pe_1">'Jours fériés'!$F$34</definedName>
    <definedName name="fin_pe_2" localSheetId="9">'Mode emploi calcul JF'!$F$42</definedName>
    <definedName name="fin_pe_2">'Jours fériés'!$F$42</definedName>
    <definedName name="fin_pe_3" localSheetId="9">'Mode emploi calcul JF'!$F$50</definedName>
    <definedName name="fin_pe_3">'Jours fériés'!$F$50</definedName>
    <definedName name="fin_to_1" localSheetId="9">'Mode emploi calcul JF'!$H$34</definedName>
    <definedName name="fin_to_1">'Jours fériés'!$H$34</definedName>
    <definedName name="fin_to_2" localSheetId="9">'Mode emploi calcul JF'!$H$42</definedName>
    <definedName name="fin_to_2">'Jours fériés'!$H$42</definedName>
    <definedName name="fin_to_3" localSheetId="9">'Mode emploi calcul JF'!$H$50</definedName>
    <definedName name="fin_to_3">'Jours fériés'!$H$50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" i="14" l="1"/>
  <c r="AE24" i="14" s="1"/>
  <c r="AD24" i="14" s="1"/>
  <c r="AD23" i="14"/>
  <c r="Z23" i="14"/>
  <c r="Z24" i="14" s="1"/>
  <c r="Y24" i="14" s="1"/>
  <c r="Y23" i="14"/>
  <c r="U23" i="14"/>
  <c r="T23" i="14" s="1"/>
  <c r="P23" i="14"/>
  <c r="O23" i="14" s="1"/>
  <c r="K23" i="14"/>
  <c r="K24" i="14" s="1"/>
  <c r="J24" i="14" s="1"/>
  <c r="J23" i="14"/>
  <c r="F23" i="14"/>
  <c r="F24" i="14" s="1"/>
  <c r="E24" i="14" s="1"/>
  <c r="E23" i="14"/>
  <c r="U19" i="14"/>
  <c r="T19" i="14" s="1"/>
  <c r="U18" i="14"/>
  <c r="T18" i="14" s="1"/>
  <c r="U17" i="14"/>
  <c r="T17" i="14" s="1"/>
  <c r="K17" i="14"/>
  <c r="J17" i="14" s="1"/>
  <c r="AE16" i="14"/>
  <c r="AE17" i="14" s="1"/>
  <c r="AD17" i="14" s="1"/>
  <c r="AD16" i="14"/>
  <c r="Z16" i="14"/>
  <c r="Y16" i="14" s="1"/>
  <c r="U16" i="14"/>
  <c r="T16" i="14" s="1"/>
  <c r="P16" i="14"/>
  <c r="O16" i="14"/>
  <c r="K16" i="14"/>
  <c r="J16" i="14"/>
  <c r="F16" i="14"/>
  <c r="E16" i="14" s="1"/>
  <c r="AE15" i="14"/>
  <c r="AD15" i="14" s="1"/>
  <c r="Z15" i="14"/>
  <c r="Y15" i="14"/>
  <c r="U15" i="14"/>
  <c r="T15" i="14"/>
  <c r="P15" i="14"/>
  <c r="O15" i="14" s="1"/>
  <c r="K15" i="14"/>
  <c r="J15" i="14" s="1"/>
  <c r="F15" i="14"/>
  <c r="E15" i="14"/>
  <c r="AE14" i="14"/>
  <c r="AD14" i="14"/>
  <c r="Z14" i="14"/>
  <c r="Y14" i="14" s="1"/>
  <c r="U14" i="14"/>
  <c r="T14" i="14" s="1"/>
  <c r="P14" i="14"/>
  <c r="O14" i="14"/>
  <c r="K14" i="14"/>
  <c r="J14" i="14"/>
  <c r="F14" i="14"/>
  <c r="E14" i="14" s="1"/>
  <c r="AE13" i="14"/>
  <c r="AD13" i="14" s="1"/>
  <c r="Z13" i="14"/>
  <c r="Y13" i="14"/>
  <c r="U13" i="14"/>
  <c r="T13" i="14"/>
  <c r="P13" i="14"/>
  <c r="O13" i="14" s="1"/>
  <c r="K13" i="14"/>
  <c r="J13" i="14" s="1"/>
  <c r="F13" i="14"/>
  <c r="E13" i="14"/>
  <c r="AE12" i="14"/>
  <c r="AD12" i="14"/>
  <c r="Z12" i="14"/>
  <c r="Y12" i="14" s="1"/>
  <c r="P12" i="14"/>
  <c r="O12" i="14"/>
  <c r="K12" i="14"/>
  <c r="J12" i="14"/>
  <c r="F12" i="14"/>
  <c r="E12" i="14" s="1"/>
  <c r="Z11" i="14"/>
  <c r="Y11" i="14"/>
  <c r="U11" i="14"/>
  <c r="T11" i="14"/>
  <c r="P11" i="14"/>
  <c r="O11" i="14" s="1"/>
  <c r="K11" i="14"/>
  <c r="J11" i="14" s="1"/>
  <c r="F11" i="14"/>
  <c r="E11" i="14"/>
  <c r="AE10" i="14"/>
  <c r="AD10" i="14"/>
  <c r="Z10" i="14"/>
  <c r="Y10" i="14" s="1"/>
  <c r="U10" i="14"/>
  <c r="T10" i="14" s="1"/>
  <c r="P10" i="14"/>
  <c r="O10" i="14"/>
  <c r="K10" i="14"/>
  <c r="J10" i="14"/>
  <c r="F10" i="14"/>
  <c r="E10" i="14" s="1"/>
  <c r="AE9" i="14"/>
  <c r="AD9" i="14" s="1"/>
  <c r="Z9" i="14"/>
  <c r="Y9" i="14"/>
  <c r="U9" i="14"/>
  <c r="T9" i="14"/>
  <c r="P9" i="14"/>
  <c r="O9" i="14" s="1"/>
  <c r="K9" i="14"/>
  <c r="J9" i="14" s="1"/>
  <c r="F9" i="14"/>
  <c r="E9" i="14"/>
  <c r="AE8" i="14"/>
  <c r="AD8" i="14"/>
  <c r="Z8" i="14"/>
  <c r="Y8" i="14" s="1"/>
  <c r="U8" i="14"/>
  <c r="T8" i="14" s="1"/>
  <c r="P8" i="14"/>
  <c r="O8" i="14"/>
  <c r="K8" i="14"/>
  <c r="J8" i="14"/>
  <c r="F8" i="14"/>
  <c r="E8" i="14" s="1"/>
  <c r="AE7" i="14"/>
  <c r="AD7" i="14" s="1"/>
  <c r="Z7" i="14"/>
  <c r="Y7" i="14"/>
  <c r="U7" i="14"/>
  <c r="T7" i="14"/>
  <c r="P7" i="14"/>
  <c r="O7" i="14" s="1"/>
  <c r="K7" i="14"/>
  <c r="J7" i="14" s="1"/>
  <c r="F7" i="14"/>
  <c r="E7" i="14"/>
  <c r="Z3" i="14"/>
  <c r="Y3" i="14"/>
  <c r="X3" i="14"/>
  <c r="W3" i="14"/>
  <c r="U3" i="14"/>
  <c r="T3" i="14"/>
  <c r="S3" i="14"/>
  <c r="J3" i="14"/>
  <c r="H3" i="14"/>
  <c r="G3" i="14"/>
  <c r="F3" i="14"/>
  <c r="E3" i="14"/>
  <c r="D3" i="14"/>
  <c r="C3" i="14"/>
  <c r="Z17" i="14" l="1"/>
  <c r="Y17" i="14" s="1"/>
  <c r="P24" i="14"/>
  <c r="O24" i="14" s="1"/>
  <c r="F17" i="14"/>
  <c r="E17" i="14" s="1"/>
  <c r="U24" i="14"/>
  <c r="T24" i="14" s="1"/>
  <c r="AE11" i="14"/>
  <c r="AD11" i="14" s="1"/>
  <c r="U12" i="14"/>
  <c r="T12" i="14" s="1"/>
  <c r="Y15" i="2"/>
  <c r="Z15" i="2"/>
  <c r="C6" i="7" l="1"/>
  <c r="D6" i="7"/>
  <c r="E6" i="7"/>
  <c r="F6" i="7"/>
  <c r="G6" i="7"/>
  <c r="H6" i="7"/>
  <c r="I6" i="7"/>
  <c r="K6" i="7"/>
  <c r="L6" i="7"/>
  <c r="M6" i="7"/>
  <c r="N6" i="7"/>
  <c r="O6" i="7"/>
  <c r="P6" i="7"/>
  <c r="Q6" i="7"/>
  <c r="S6" i="7"/>
  <c r="T6" i="7"/>
  <c r="U6" i="7"/>
  <c r="V6" i="7"/>
  <c r="W6" i="7"/>
  <c r="X6" i="7"/>
  <c r="Y6" i="7"/>
  <c r="C13" i="7"/>
  <c r="H16" i="7" s="1"/>
  <c r="K13" i="7"/>
  <c r="K16" i="7" s="1"/>
  <c r="S13" i="7"/>
  <c r="Y16" i="7" s="1"/>
  <c r="C15" i="7"/>
  <c r="D15" i="7"/>
  <c r="E15" i="7"/>
  <c r="F15" i="7"/>
  <c r="G15" i="7"/>
  <c r="H15" i="7"/>
  <c r="I15" i="7"/>
  <c r="K15" i="7"/>
  <c r="L15" i="7"/>
  <c r="M15" i="7"/>
  <c r="N15" i="7"/>
  <c r="O15" i="7"/>
  <c r="P15" i="7"/>
  <c r="Q15" i="7"/>
  <c r="S15" i="7"/>
  <c r="T15" i="7"/>
  <c r="U15" i="7"/>
  <c r="V15" i="7"/>
  <c r="W15" i="7"/>
  <c r="X15" i="7"/>
  <c r="Y15" i="7"/>
  <c r="C22" i="7"/>
  <c r="I25" i="7" s="1"/>
  <c r="K22" i="7"/>
  <c r="L25" i="7" s="1"/>
  <c r="S22" i="7"/>
  <c r="S25" i="7" s="1"/>
  <c r="C24" i="7"/>
  <c r="D24" i="7"/>
  <c r="E24" i="7"/>
  <c r="F24" i="7"/>
  <c r="G24" i="7"/>
  <c r="H24" i="7"/>
  <c r="I24" i="7"/>
  <c r="K24" i="7"/>
  <c r="L24" i="7"/>
  <c r="M24" i="7"/>
  <c r="N24" i="7"/>
  <c r="O24" i="7"/>
  <c r="P24" i="7"/>
  <c r="Q24" i="7"/>
  <c r="S24" i="7"/>
  <c r="T24" i="7"/>
  <c r="U24" i="7"/>
  <c r="V24" i="7"/>
  <c r="W24" i="7"/>
  <c r="X24" i="7"/>
  <c r="Y24" i="7"/>
  <c r="C31" i="7"/>
  <c r="E35" i="7" s="1"/>
  <c r="K31" i="7"/>
  <c r="Q34" i="7" s="1"/>
  <c r="S31" i="7"/>
  <c r="U35" i="7" s="1"/>
  <c r="C33" i="7"/>
  <c r="D33" i="7"/>
  <c r="E33" i="7"/>
  <c r="F33" i="7"/>
  <c r="G33" i="7"/>
  <c r="H33" i="7"/>
  <c r="I33" i="7"/>
  <c r="K33" i="7"/>
  <c r="L33" i="7"/>
  <c r="M33" i="7"/>
  <c r="N33" i="7"/>
  <c r="O33" i="7"/>
  <c r="P33" i="7"/>
  <c r="Q33" i="7"/>
  <c r="S33" i="7"/>
  <c r="T33" i="7"/>
  <c r="U33" i="7"/>
  <c r="V33" i="7"/>
  <c r="W33" i="7"/>
  <c r="X33" i="7"/>
  <c r="Y33" i="7"/>
  <c r="S31" i="6"/>
  <c r="Y39" i="6" s="1"/>
  <c r="K31" i="6"/>
  <c r="P39" i="6" s="1"/>
  <c r="C31" i="6"/>
  <c r="G39" i="6" s="1"/>
  <c r="S22" i="6"/>
  <c r="U30" i="6" s="1"/>
  <c r="K22" i="6"/>
  <c r="K29" i="6" s="1"/>
  <c r="C22" i="6"/>
  <c r="G28" i="6" s="1"/>
  <c r="S13" i="6"/>
  <c r="X20" i="6" s="1"/>
  <c r="K13" i="6"/>
  <c r="L19" i="6" s="1"/>
  <c r="C13" i="6"/>
  <c r="E20" i="6" s="1"/>
  <c r="U10" i="6"/>
  <c r="T10" i="6"/>
  <c r="V9" i="6"/>
  <c r="S8" i="6"/>
  <c r="S4" i="6"/>
  <c r="U12" i="6" s="1"/>
  <c r="K4" i="6"/>
  <c r="O11" i="6" s="1"/>
  <c r="C4" i="6"/>
  <c r="K23" i="6" s="1"/>
  <c r="V21" i="6" l="1"/>
  <c r="W34" i="7"/>
  <c r="I34" i="7"/>
  <c r="L28" i="7"/>
  <c r="G34" i="7"/>
  <c r="E16" i="7"/>
  <c r="D16" i="7"/>
  <c r="C16" i="7"/>
  <c r="E39" i="7"/>
  <c r="D39" i="7"/>
  <c r="C39" i="7"/>
  <c r="Y26" i="7"/>
  <c r="E34" i="7"/>
  <c r="E38" i="7"/>
  <c r="K29" i="7"/>
  <c r="Q21" i="7"/>
  <c r="F38" i="7"/>
  <c r="D38" i="7"/>
  <c r="W28" i="7"/>
  <c r="H19" i="7"/>
  <c r="P26" i="7"/>
  <c r="O25" i="7"/>
  <c r="D37" i="7"/>
  <c r="U28" i="7"/>
  <c r="G19" i="7"/>
  <c r="G39" i="7"/>
  <c r="C36" i="7"/>
  <c r="S28" i="7"/>
  <c r="H18" i="7"/>
  <c r="S21" i="7"/>
  <c r="T27" i="7"/>
  <c r="I21" i="7"/>
  <c r="G18" i="7"/>
  <c r="Q39" i="7"/>
  <c r="V36" i="7"/>
  <c r="Q30" i="7"/>
  <c r="M27" i="7"/>
  <c r="N20" i="7"/>
  <c r="F18" i="7"/>
  <c r="F36" i="7"/>
  <c r="V29" i="7"/>
  <c r="F27" i="7"/>
  <c r="I20" i="7"/>
  <c r="G17" i="7"/>
  <c r="H20" i="7"/>
  <c r="F17" i="7"/>
  <c r="Y34" i="7"/>
  <c r="I19" i="7"/>
  <c r="E17" i="7"/>
  <c r="E21" i="7"/>
  <c r="D20" i="7"/>
  <c r="C19" i="7"/>
  <c r="Y17" i="7"/>
  <c r="X16" i="7"/>
  <c r="C21" i="7"/>
  <c r="Y19" i="7"/>
  <c r="X18" i="7"/>
  <c r="W17" i="7"/>
  <c r="V16" i="7"/>
  <c r="I37" i="7"/>
  <c r="Y20" i="7"/>
  <c r="X19" i="7"/>
  <c r="W18" i="7"/>
  <c r="V17" i="7"/>
  <c r="U16" i="7"/>
  <c r="T36" i="7"/>
  <c r="W37" i="7"/>
  <c r="U37" i="7"/>
  <c r="V38" i="7"/>
  <c r="T35" i="7"/>
  <c r="U39" i="7"/>
  <c r="T38" i="7"/>
  <c r="F37" i="7"/>
  <c r="M35" i="7"/>
  <c r="O30" i="7"/>
  <c r="I28" i="7"/>
  <c r="Y21" i="7"/>
  <c r="X20" i="7"/>
  <c r="W19" i="7"/>
  <c r="V18" i="7"/>
  <c r="U17" i="7"/>
  <c r="T16" i="7"/>
  <c r="S39" i="7"/>
  <c r="H38" i="7"/>
  <c r="E37" i="7"/>
  <c r="K35" i="7"/>
  <c r="X29" i="7"/>
  <c r="X27" i="7"/>
  <c r="U21" i="7"/>
  <c r="T20" i="7"/>
  <c r="S19" i="7"/>
  <c r="P18" i="7"/>
  <c r="I17" i="7"/>
  <c r="G16" i="7"/>
  <c r="T39" i="7"/>
  <c r="F39" i="7"/>
  <c r="U38" i="7"/>
  <c r="G38" i="7"/>
  <c r="V37" i="7"/>
  <c r="H37" i="7"/>
  <c r="U36" i="7"/>
  <c r="E36" i="7"/>
  <c r="S35" i="7"/>
  <c r="X34" i="7"/>
  <c r="H34" i="7"/>
  <c r="P30" i="7"/>
  <c r="D29" i="7"/>
  <c r="K28" i="7"/>
  <c r="L27" i="7"/>
  <c r="N26" i="7"/>
  <c r="M25" i="7"/>
  <c r="T21" i="7"/>
  <c r="D21" i="7"/>
  <c r="S20" i="7"/>
  <c r="C20" i="7"/>
  <c r="K19" i="7"/>
  <c r="Y18" i="7"/>
  <c r="I18" i="7"/>
  <c r="X17" i="7"/>
  <c r="H17" i="7"/>
  <c r="W16" i="7"/>
  <c r="F16" i="7"/>
  <c r="M26" i="7"/>
  <c r="S38" i="7"/>
  <c r="N30" i="7"/>
  <c r="P29" i="7"/>
  <c r="H25" i="7"/>
  <c r="O39" i="7"/>
  <c r="H35" i="7"/>
  <c r="C26" i="7"/>
  <c r="Q29" i="7"/>
  <c r="K27" i="7"/>
  <c r="T37" i="7"/>
  <c r="S36" i="7"/>
  <c r="Y35" i="7"/>
  <c r="Y39" i="7"/>
  <c r="O29" i="7"/>
  <c r="X39" i="7"/>
  <c r="K39" i="7"/>
  <c r="Y38" i="7"/>
  <c r="N38" i="7"/>
  <c r="C38" i="7"/>
  <c r="Q37" i="7"/>
  <c r="Y36" i="7"/>
  <c r="N36" i="7"/>
  <c r="W35" i="7"/>
  <c r="F35" i="7"/>
  <c r="T34" i="7"/>
  <c r="Y30" i="7"/>
  <c r="L30" i="7"/>
  <c r="N29" i="7"/>
  <c r="P28" i="7"/>
  <c r="Q27" i="7"/>
  <c r="W26" i="7"/>
  <c r="V25" i="7"/>
  <c r="X21" i="7"/>
  <c r="H21" i="7"/>
  <c r="W20" i="7"/>
  <c r="G20" i="7"/>
  <c r="V19" i="7"/>
  <c r="F19" i="7"/>
  <c r="U18" i="7"/>
  <c r="E18" i="7"/>
  <c r="T17" i="7"/>
  <c r="D17" i="7"/>
  <c r="S16" i="7"/>
  <c r="P38" i="7"/>
  <c r="S37" i="7"/>
  <c r="X35" i="7"/>
  <c r="U34" i="7"/>
  <c r="W39" i="7"/>
  <c r="I39" i="7"/>
  <c r="X38" i="7"/>
  <c r="L38" i="7"/>
  <c r="Y37" i="7"/>
  <c r="M37" i="7"/>
  <c r="X36" i="7"/>
  <c r="I36" i="7"/>
  <c r="V35" i="7"/>
  <c r="D35" i="7"/>
  <c r="S34" i="7"/>
  <c r="U30" i="7"/>
  <c r="K30" i="7"/>
  <c r="M29" i="7"/>
  <c r="O28" i="7"/>
  <c r="P27" i="7"/>
  <c r="U26" i="7"/>
  <c r="T25" i="7"/>
  <c r="W21" i="7"/>
  <c r="G21" i="7"/>
  <c r="V20" i="7"/>
  <c r="F20" i="7"/>
  <c r="U19" i="7"/>
  <c r="E19" i="7"/>
  <c r="T18" i="7"/>
  <c r="D18" i="7"/>
  <c r="S17" i="7"/>
  <c r="C17" i="7"/>
  <c r="I16" i="7"/>
  <c r="K25" i="7"/>
  <c r="V34" i="7"/>
  <c r="L26" i="7"/>
  <c r="P36" i="7"/>
  <c r="C34" i="7"/>
  <c r="M30" i="7"/>
  <c r="V39" i="7"/>
  <c r="H39" i="7"/>
  <c r="W38" i="7"/>
  <c r="I38" i="7"/>
  <c r="X37" i="7"/>
  <c r="K37" i="7"/>
  <c r="W36" i="7"/>
  <c r="G36" i="7"/>
  <c r="C35" i="7"/>
  <c r="P34" i="7"/>
  <c r="S30" i="7"/>
  <c r="G30" i="7"/>
  <c r="L29" i="7"/>
  <c r="N28" i="7"/>
  <c r="O27" i="7"/>
  <c r="Q26" i="7"/>
  <c r="Q25" i="7"/>
  <c r="V21" i="7"/>
  <c r="F21" i="7"/>
  <c r="U20" i="7"/>
  <c r="E20" i="7"/>
  <c r="T19" i="7"/>
  <c r="D19" i="7"/>
  <c r="S18" i="7"/>
  <c r="C18" i="7"/>
  <c r="M17" i="7"/>
  <c r="Y18" i="6"/>
  <c r="L18" i="6"/>
  <c r="Y36" i="6"/>
  <c r="X11" i="6"/>
  <c r="S16" i="6"/>
  <c r="Y19" i="6"/>
  <c r="U25" i="6"/>
  <c r="K16" i="6"/>
  <c r="T7" i="6"/>
  <c r="Y11" i="6"/>
  <c r="T16" i="6"/>
  <c r="O20" i="6"/>
  <c r="X25" i="6"/>
  <c r="U18" i="6"/>
  <c r="S14" i="6"/>
  <c r="X10" i="6"/>
  <c r="X19" i="6"/>
  <c r="X7" i="6"/>
  <c r="S12" i="6"/>
  <c r="M17" i="6"/>
  <c r="H21" i="6"/>
  <c r="S26" i="6"/>
  <c r="S17" i="6"/>
  <c r="S21" i="6"/>
  <c r="T29" i="6"/>
  <c r="N39" i="7"/>
  <c r="K38" i="7"/>
  <c r="P37" i="7"/>
  <c r="G37" i="7"/>
  <c r="M36" i="7"/>
  <c r="D36" i="7"/>
  <c r="I35" i="7"/>
  <c r="O34" i="7"/>
  <c r="F34" i="7"/>
  <c r="X30" i="7"/>
  <c r="F30" i="7"/>
  <c r="U29" i="7"/>
  <c r="C29" i="7"/>
  <c r="Q28" i="7"/>
  <c r="H28" i="7"/>
  <c r="W27" i="7"/>
  <c r="N27" i="7"/>
  <c r="E27" i="7"/>
  <c r="T26" i="7"/>
  <c r="K26" i="7"/>
  <c r="Y25" i="7"/>
  <c r="P25" i="7"/>
  <c r="G25" i="7"/>
  <c r="P21" i="7"/>
  <c r="M20" i="7"/>
  <c r="O18" i="7"/>
  <c r="L17" i="7"/>
  <c r="Q16" i="7"/>
  <c r="Q35" i="7"/>
  <c r="N34" i="7"/>
  <c r="W30" i="7"/>
  <c r="E30" i="7"/>
  <c r="T29" i="7"/>
  <c r="Y28" i="7"/>
  <c r="G28" i="7"/>
  <c r="V27" i="7"/>
  <c r="D27" i="7"/>
  <c r="S26" i="7"/>
  <c r="I26" i="7"/>
  <c r="X25" i="7"/>
  <c r="F25" i="7"/>
  <c r="O21" i="7"/>
  <c r="L20" i="7"/>
  <c r="Q19" i="7"/>
  <c r="N18" i="7"/>
  <c r="K17" i="7"/>
  <c r="P16" i="7"/>
  <c r="M39" i="7"/>
  <c r="O37" i="7"/>
  <c r="L36" i="7"/>
  <c r="L39" i="7"/>
  <c r="Q38" i="7"/>
  <c r="N37" i="7"/>
  <c r="K36" i="7"/>
  <c r="P35" i="7"/>
  <c r="G35" i="7"/>
  <c r="M34" i="7"/>
  <c r="D34" i="7"/>
  <c r="V30" i="7"/>
  <c r="D30" i="7"/>
  <c r="S29" i="7"/>
  <c r="I29" i="7"/>
  <c r="X28" i="7"/>
  <c r="F28" i="7"/>
  <c r="U27" i="7"/>
  <c r="C27" i="7"/>
  <c r="H26" i="7"/>
  <c r="W25" i="7"/>
  <c r="N25" i="7"/>
  <c r="E25" i="7"/>
  <c r="N21" i="7"/>
  <c r="K20" i="7"/>
  <c r="P19" i="7"/>
  <c r="M18" i="7"/>
  <c r="O16" i="7"/>
  <c r="O35" i="7"/>
  <c r="L34" i="7"/>
  <c r="H29" i="7"/>
  <c r="E28" i="7"/>
  <c r="G26" i="7"/>
  <c r="D25" i="7"/>
  <c r="M21" i="7"/>
  <c r="O19" i="7"/>
  <c r="L18" i="7"/>
  <c r="Q17" i="7"/>
  <c r="N16" i="7"/>
  <c r="C30" i="7"/>
  <c r="O38" i="7"/>
  <c r="L37" i="7"/>
  <c r="C37" i="7"/>
  <c r="Q36" i="7"/>
  <c r="H36" i="7"/>
  <c r="N35" i="7"/>
  <c r="K34" i="7"/>
  <c r="T30" i="7"/>
  <c r="Y29" i="7"/>
  <c r="G29" i="7"/>
  <c r="V28" i="7"/>
  <c r="M28" i="7"/>
  <c r="D28" i="7"/>
  <c r="S27" i="7"/>
  <c r="I27" i="7"/>
  <c r="X26" i="7"/>
  <c r="O26" i="7"/>
  <c r="F26" i="7"/>
  <c r="U25" i="7"/>
  <c r="C25" i="7"/>
  <c r="L21" i="7"/>
  <c r="Q20" i="7"/>
  <c r="N19" i="7"/>
  <c r="K18" i="7"/>
  <c r="P17" i="7"/>
  <c r="M16" i="7"/>
  <c r="F29" i="7"/>
  <c r="C28" i="7"/>
  <c r="H27" i="7"/>
  <c r="E26" i="7"/>
  <c r="K21" i="7"/>
  <c r="P20" i="7"/>
  <c r="M19" i="7"/>
  <c r="O17" i="7"/>
  <c r="L16" i="7"/>
  <c r="I30" i="7"/>
  <c r="P39" i="7"/>
  <c r="M38" i="7"/>
  <c r="O36" i="7"/>
  <c r="L35" i="7"/>
  <c r="H30" i="7"/>
  <c r="W29" i="7"/>
  <c r="E29" i="7"/>
  <c r="T28" i="7"/>
  <c r="Y27" i="7"/>
  <c r="G27" i="7"/>
  <c r="V26" i="7"/>
  <c r="D26" i="7"/>
  <c r="O20" i="7"/>
  <c r="L19" i="7"/>
  <c r="Q18" i="7"/>
  <c r="N17" i="7"/>
  <c r="N35" i="6"/>
  <c r="G10" i="6"/>
  <c r="W25" i="6"/>
  <c r="V35" i="6"/>
  <c r="K37" i="6"/>
  <c r="V8" i="6"/>
  <c r="V10" i="6"/>
  <c r="W12" i="6"/>
  <c r="V27" i="6"/>
  <c r="K32" i="6"/>
  <c r="U37" i="6"/>
  <c r="I8" i="6"/>
  <c r="D12" i="6"/>
  <c r="X28" i="6"/>
  <c r="S32" i="6"/>
  <c r="F7" i="6"/>
  <c r="S9" i="6"/>
  <c r="T11" i="6"/>
  <c r="V17" i="6"/>
  <c r="S20" i="6"/>
  <c r="S25" i="6"/>
  <c r="Y28" i="6"/>
  <c r="T34" i="6"/>
  <c r="O38" i="6"/>
  <c r="E7" i="6"/>
  <c r="C9" i="6"/>
  <c r="N38" i="6"/>
  <c r="S7" i="6"/>
  <c r="U9" i="6"/>
  <c r="W11" i="6"/>
  <c r="W17" i="6"/>
  <c r="T20" i="6"/>
  <c r="T25" i="6"/>
  <c r="S29" i="6"/>
  <c r="M35" i="6"/>
  <c r="W38" i="6"/>
  <c r="N8" i="6"/>
  <c r="C37" i="6"/>
  <c r="I34" i="6"/>
  <c r="C19" i="6"/>
  <c r="U7" i="6"/>
  <c r="W8" i="6"/>
  <c r="Y9" i="6"/>
  <c r="Y10" i="6"/>
  <c r="W16" i="6"/>
  <c r="T19" i="6"/>
  <c r="W20" i="6"/>
  <c r="W26" i="6"/>
  <c r="V30" i="6"/>
  <c r="K34" i="6"/>
  <c r="W35" i="6"/>
  <c r="L37" i="6"/>
  <c r="X38" i="6"/>
  <c r="G19" i="6"/>
  <c r="G18" i="6"/>
  <c r="W7" i="6"/>
  <c r="X8" i="6"/>
  <c r="F10" i="6"/>
  <c r="K11" i="6"/>
  <c r="Q12" i="6"/>
  <c r="K14" i="6"/>
  <c r="X16" i="6"/>
  <c r="H18" i="6"/>
  <c r="U19" i="6"/>
  <c r="K25" i="6"/>
  <c r="U27" i="6"/>
  <c r="W30" i="6"/>
  <c r="S34" i="6"/>
  <c r="G36" i="6"/>
  <c r="T37" i="6"/>
  <c r="H39" i="6"/>
  <c r="N11" i="6"/>
  <c r="H36" i="6"/>
  <c r="I39" i="6"/>
  <c r="P9" i="6"/>
  <c r="K10" i="6"/>
  <c r="S11" i="6"/>
  <c r="T12" i="6"/>
  <c r="E16" i="6"/>
  <c r="N17" i="6"/>
  <c r="M18" i="6"/>
  <c r="I21" i="6"/>
  <c r="P28" i="6"/>
  <c r="D35" i="6"/>
  <c r="P36" i="6"/>
  <c r="E38" i="6"/>
  <c r="Q39" i="6"/>
  <c r="M8" i="6"/>
  <c r="Q9" i="6"/>
  <c r="V12" i="6"/>
  <c r="F16" i="6"/>
  <c r="Q17" i="6"/>
  <c r="N20" i="6"/>
  <c r="E35" i="6"/>
  <c r="Q36" i="6"/>
  <c r="F38" i="6"/>
  <c r="S39" i="6"/>
  <c r="E12" i="6"/>
  <c r="F19" i="6"/>
  <c r="M21" i="6"/>
  <c r="O25" i="6"/>
  <c r="I26" i="6"/>
  <c r="M27" i="6"/>
  <c r="N30" i="6"/>
  <c r="L12" i="6"/>
  <c r="Q11" i="6"/>
  <c r="N10" i="6"/>
  <c r="K9" i="6"/>
  <c r="P8" i="6"/>
  <c r="M7" i="6"/>
  <c r="P12" i="6"/>
  <c r="M11" i="6"/>
  <c r="O9" i="6"/>
  <c r="L8" i="6"/>
  <c r="Q7" i="6"/>
  <c r="N9" i="6"/>
  <c r="O12" i="6"/>
  <c r="L11" i="6"/>
  <c r="Q10" i="6"/>
  <c r="K8" i="6"/>
  <c r="P7" i="6"/>
  <c r="K7" i="6"/>
  <c r="I3" i="6" s="1"/>
  <c r="D3" i="6" s="1"/>
  <c r="O8" i="6"/>
  <c r="L10" i="6"/>
  <c r="H12" i="6"/>
  <c r="N21" i="6"/>
  <c r="N26" i="6"/>
  <c r="I29" i="6"/>
  <c r="C32" i="6"/>
  <c r="C14" i="6"/>
  <c r="C12" i="6"/>
  <c r="H11" i="6"/>
  <c r="E10" i="6"/>
  <c r="G8" i="6"/>
  <c r="D7" i="6"/>
  <c r="C23" i="6"/>
  <c r="G12" i="6"/>
  <c r="D11" i="6"/>
  <c r="I10" i="6"/>
  <c r="F9" i="6"/>
  <c r="C8" i="6"/>
  <c r="H7" i="6"/>
  <c r="C5" i="6"/>
  <c r="G7" i="6"/>
  <c r="F12" i="6"/>
  <c r="C11" i="6"/>
  <c r="H10" i="6"/>
  <c r="E9" i="6"/>
  <c r="I7" i="6"/>
  <c r="G9" i="6"/>
  <c r="P11" i="6"/>
  <c r="D8" i="6"/>
  <c r="Q8" i="6"/>
  <c r="H9" i="6"/>
  <c r="M10" i="6"/>
  <c r="E11" i="6"/>
  <c r="I12" i="6"/>
  <c r="I16" i="6"/>
  <c r="D17" i="6"/>
  <c r="P18" i="6"/>
  <c r="K19" i="6"/>
  <c r="Q21" i="6"/>
  <c r="S23" i="6"/>
  <c r="Q26" i="6"/>
  <c r="E8" i="6"/>
  <c r="K12" i="6"/>
  <c r="G21" i="6"/>
  <c r="D20" i="6"/>
  <c r="I19" i="6"/>
  <c r="F18" i="6"/>
  <c r="C17" i="6"/>
  <c r="H16" i="6"/>
  <c r="F21" i="6"/>
  <c r="C20" i="6"/>
  <c r="H19" i="6"/>
  <c r="E18" i="6"/>
  <c r="G16" i="6"/>
  <c r="C21" i="6"/>
  <c r="H20" i="6"/>
  <c r="E19" i="6"/>
  <c r="G17" i="6"/>
  <c r="D16" i="6"/>
  <c r="G20" i="6"/>
  <c r="D19" i="6"/>
  <c r="I18" i="6"/>
  <c r="F17" i="6"/>
  <c r="C16" i="6"/>
  <c r="E17" i="6"/>
  <c r="Q18" i="6"/>
  <c r="F20" i="6"/>
  <c r="E25" i="6"/>
  <c r="F28" i="6"/>
  <c r="D9" i="6"/>
  <c r="I9" i="6"/>
  <c r="L9" i="6"/>
  <c r="C10" i="6"/>
  <c r="P10" i="6"/>
  <c r="G11" i="6"/>
  <c r="M12" i="6"/>
  <c r="P21" i="6"/>
  <c r="M20" i="6"/>
  <c r="O18" i="6"/>
  <c r="L17" i="6"/>
  <c r="Q16" i="6"/>
  <c r="O21" i="6"/>
  <c r="L20" i="6"/>
  <c r="Q19" i="6"/>
  <c r="N18" i="6"/>
  <c r="K17" i="6"/>
  <c r="P16" i="6"/>
  <c r="L21" i="6"/>
  <c r="Q20" i="6"/>
  <c r="N19" i="6"/>
  <c r="K18" i="6"/>
  <c r="P17" i="6"/>
  <c r="M16" i="6"/>
  <c r="K21" i="6"/>
  <c r="P20" i="6"/>
  <c r="M19" i="6"/>
  <c r="O17" i="6"/>
  <c r="L16" i="6"/>
  <c r="N16" i="6"/>
  <c r="H17" i="6"/>
  <c r="C18" i="6"/>
  <c r="O19" i="6"/>
  <c r="I20" i="6"/>
  <c r="D21" i="6"/>
  <c r="F25" i="6"/>
  <c r="C30" i="6"/>
  <c r="H29" i="6"/>
  <c r="E28" i="6"/>
  <c r="G26" i="6"/>
  <c r="D25" i="6"/>
  <c r="C25" i="6"/>
  <c r="G29" i="6"/>
  <c r="D28" i="6"/>
  <c r="I27" i="6"/>
  <c r="F26" i="6"/>
  <c r="I30" i="6"/>
  <c r="F29" i="6"/>
  <c r="C28" i="6"/>
  <c r="H27" i="6"/>
  <c r="H30" i="6"/>
  <c r="E29" i="6"/>
  <c r="G27" i="6"/>
  <c r="D26" i="6"/>
  <c r="G30" i="6"/>
  <c r="D29" i="6"/>
  <c r="I28" i="6"/>
  <c r="F27" i="6"/>
  <c r="C26" i="6"/>
  <c r="H25" i="6"/>
  <c r="F30" i="6"/>
  <c r="C29" i="6"/>
  <c r="H28" i="6"/>
  <c r="E27" i="6"/>
  <c r="G25" i="6"/>
  <c r="E26" i="6"/>
  <c r="D27" i="6"/>
  <c r="E30" i="6"/>
  <c r="L30" i="6"/>
  <c r="Q29" i="6"/>
  <c r="N28" i="6"/>
  <c r="K27" i="6"/>
  <c r="P26" i="6"/>
  <c r="M25" i="6"/>
  <c r="L25" i="6"/>
  <c r="K30" i="6"/>
  <c r="P29" i="6"/>
  <c r="M28" i="6"/>
  <c r="O26" i="6"/>
  <c r="O29" i="6"/>
  <c r="L28" i="6"/>
  <c r="Q27" i="6"/>
  <c r="Q30" i="6"/>
  <c r="N29" i="6"/>
  <c r="K28" i="6"/>
  <c r="P27" i="6"/>
  <c r="M26" i="6"/>
  <c r="P30" i="6"/>
  <c r="M29" i="6"/>
  <c r="O27" i="6"/>
  <c r="L26" i="6"/>
  <c r="Q25" i="6"/>
  <c r="O30" i="6"/>
  <c r="L29" i="6"/>
  <c r="Q28" i="6"/>
  <c r="N27" i="6"/>
  <c r="K26" i="6"/>
  <c r="P25" i="6"/>
  <c r="N25" i="6"/>
  <c r="H26" i="6"/>
  <c r="L27" i="6"/>
  <c r="M30" i="6"/>
  <c r="L7" i="6"/>
  <c r="K5" i="6"/>
  <c r="N7" i="6"/>
  <c r="O10" i="6"/>
  <c r="F11" i="6"/>
  <c r="S5" i="6"/>
  <c r="O7" i="6"/>
  <c r="F8" i="6"/>
  <c r="C7" i="6"/>
  <c r="H8" i="6"/>
  <c r="M9" i="6"/>
  <c r="D10" i="6"/>
  <c r="I11" i="6"/>
  <c r="N12" i="6"/>
  <c r="Y21" i="6"/>
  <c r="V20" i="6"/>
  <c r="S19" i="6"/>
  <c r="X18" i="6"/>
  <c r="U17" i="6"/>
  <c r="X21" i="6"/>
  <c r="U20" i="6"/>
  <c r="W18" i="6"/>
  <c r="T17" i="6"/>
  <c r="Y16" i="6"/>
  <c r="U21" i="6"/>
  <c r="W19" i="6"/>
  <c r="T18" i="6"/>
  <c r="Y17" i="6"/>
  <c r="V16" i="6"/>
  <c r="T21" i="6"/>
  <c r="Y20" i="6"/>
  <c r="V19" i="6"/>
  <c r="S18" i="6"/>
  <c r="X17" i="6"/>
  <c r="U16" i="6"/>
  <c r="O16" i="6"/>
  <c r="I17" i="6"/>
  <c r="D18" i="6"/>
  <c r="V18" i="6"/>
  <c r="P19" i="6"/>
  <c r="K20" i="6"/>
  <c r="E21" i="6"/>
  <c r="W21" i="6"/>
  <c r="I25" i="6"/>
  <c r="C27" i="6"/>
  <c r="O28" i="6"/>
  <c r="D30" i="6"/>
  <c r="W9" i="6"/>
  <c r="U11" i="6"/>
  <c r="X12" i="6"/>
  <c r="Y25" i="6"/>
  <c r="T26" i="6"/>
  <c r="W27" i="6"/>
  <c r="U29" i="6"/>
  <c r="X30" i="6"/>
  <c r="C34" i="6"/>
  <c r="L34" i="6"/>
  <c r="U34" i="6"/>
  <c r="F35" i="6"/>
  <c r="O35" i="6"/>
  <c r="X35" i="6"/>
  <c r="I36" i="6"/>
  <c r="S36" i="6"/>
  <c r="D37" i="6"/>
  <c r="M37" i="6"/>
  <c r="V37" i="6"/>
  <c r="G38" i="6"/>
  <c r="P38" i="6"/>
  <c r="Y38" i="6"/>
  <c r="K39" i="6"/>
  <c r="T39" i="6"/>
  <c r="Y7" i="6"/>
  <c r="T8" i="6"/>
  <c r="U8" i="6"/>
  <c r="X9" i="6"/>
  <c r="S10" i="6"/>
  <c r="V11" i="6"/>
  <c r="Y12" i="6"/>
  <c r="U26" i="6"/>
  <c r="X27" i="6"/>
  <c r="S28" i="6"/>
  <c r="V29" i="6"/>
  <c r="Y30" i="6"/>
  <c r="D34" i="6"/>
  <c r="M34" i="6"/>
  <c r="V34" i="6"/>
  <c r="G35" i="6"/>
  <c r="P35" i="6"/>
  <c r="Y35" i="6"/>
  <c r="K36" i="6"/>
  <c r="T36" i="6"/>
  <c r="E37" i="6"/>
  <c r="N37" i="6"/>
  <c r="W37" i="6"/>
  <c r="H38" i="6"/>
  <c r="Q38" i="6"/>
  <c r="C39" i="6"/>
  <c r="L39" i="6"/>
  <c r="U39" i="6"/>
  <c r="V26" i="6"/>
  <c r="Y27" i="6"/>
  <c r="T28" i="6"/>
  <c r="W29" i="6"/>
  <c r="E34" i="6"/>
  <c r="N34" i="6"/>
  <c r="W34" i="6"/>
  <c r="H35" i="6"/>
  <c r="Q35" i="6"/>
  <c r="C36" i="6"/>
  <c r="L36" i="6"/>
  <c r="U36" i="6"/>
  <c r="F37" i="6"/>
  <c r="O37" i="6"/>
  <c r="X37" i="6"/>
  <c r="I38" i="6"/>
  <c r="S38" i="6"/>
  <c r="D39" i="6"/>
  <c r="M39" i="6"/>
  <c r="V39" i="6"/>
  <c r="U28" i="6"/>
  <c r="X29" i="6"/>
  <c r="S30" i="6"/>
  <c r="F34" i="6"/>
  <c r="O34" i="6"/>
  <c r="X34" i="6"/>
  <c r="I35" i="6"/>
  <c r="S35" i="6"/>
  <c r="D36" i="6"/>
  <c r="M36" i="6"/>
  <c r="V36" i="6"/>
  <c r="G37" i="6"/>
  <c r="P37" i="6"/>
  <c r="Y37" i="6"/>
  <c r="K38" i="6"/>
  <c r="T38" i="6"/>
  <c r="E39" i="6"/>
  <c r="N39" i="6"/>
  <c r="W39" i="6"/>
  <c r="X26" i="6"/>
  <c r="S27" i="6"/>
  <c r="V28" i="6"/>
  <c r="Y29" i="6"/>
  <c r="T30" i="6"/>
  <c r="G34" i="6"/>
  <c r="P34" i="6"/>
  <c r="Y34" i="6"/>
  <c r="K35" i="6"/>
  <c r="T35" i="6"/>
  <c r="E36" i="6"/>
  <c r="N36" i="6"/>
  <c r="W36" i="6"/>
  <c r="H37" i="6"/>
  <c r="Q37" i="6"/>
  <c r="C38" i="6"/>
  <c r="L38" i="6"/>
  <c r="U38" i="6"/>
  <c r="F39" i="6"/>
  <c r="O39" i="6"/>
  <c r="X39" i="6"/>
  <c r="V7" i="6"/>
  <c r="Y8" i="6"/>
  <c r="T9" i="6"/>
  <c r="W10" i="6"/>
  <c r="V25" i="6"/>
  <c r="Y26" i="6"/>
  <c r="T27" i="6"/>
  <c r="W28" i="6"/>
  <c r="H34" i="6"/>
  <c r="Q34" i="6"/>
  <c r="C35" i="6"/>
  <c r="L35" i="6"/>
  <c r="U35" i="6"/>
  <c r="F36" i="6"/>
  <c r="O36" i="6"/>
  <c r="X36" i="6"/>
  <c r="I37" i="6"/>
  <c r="S37" i="6"/>
  <c r="D38" i="6"/>
  <c r="M38" i="6"/>
  <c r="V38" i="6"/>
  <c r="AE10" i="2" l="1"/>
  <c r="AD10" i="2" s="1"/>
  <c r="F10" i="2"/>
  <c r="E10" i="2" s="1"/>
  <c r="S31" i="13" l="1"/>
  <c r="Y39" i="13" s="1"/>
  <c r="K31" i="13"/>
  <c r="P39" i="13" s="1"/>
  <c r="C31" i="13"/>
  <c r="G39" i="13" s="1"/>
  <c r="S22" i="13"/>
  <c r="U30" i="13" s="1"/>
  <c r="K22" i="13"/>
  <c r="N30" i="13" s="1"/>
  <c r="C22" i="13"/>
  <c r="H26" i="13" s="1"/>
  <c r="S13" i="13"/>
  <c r="Y21" i="13" s="1"/>
  <c r="K13" i="13"/>
  <c r="P21" i="13" s="1"/>
  <c r="C13" i="13"/>
  <c r="G21" i="13" s="1"/>
  <c r="S4" i="13"/>
  <c r="U12" i="13" s="1"/>
  <c r="K4" i="13"/>
  <c r="Q8" i="13" s="1"/>
  <c r="C4" i="13"/>
  <c r="C10" i="13" l="1"/>
  <c r="K14" i="13"/>
  <c r="C14" i="13"/>
  <c r="K32" i="13"/>
  <c r="S5" i="13"/>
  <c r="C32" i="13"/>
  <c r="C5" i="13"/>
  <c r="S23" i="13"/>
  <c r="K5" i="13"/>
  <c r="K23" i="13"/>
  <c r="C23" i="13"/>
  <c r="S14" i="13"/>
  <c r="S32" i="13"/>
  <c r="T16" i="13"/>
  <c r="Y18" i="13"/>
  <c r="N7" i="13"/>
  <c r="Y28" i="13"/>
  <c r="O7" i="13"/>
  <c r="Q9" i="13"/>
  <c r="E20" i="13"/>
  <c r="M12" i="13"/>
  <c r="I34" i="13"/>
  <c r="S26" i="13"/>
  <c r="M35" i="13"/>
  <c r="X28" i="13"/>
  <c r="N35" i="13"/>
  <c r="D17" i="13"/>
  <c r="M17" i="13"/>
  <c r="S21" i="13"/>
  <c r="S29" i="13"/>
  <c r="F20" i="13"/>
  <c r="E17" i="13"/>
  <c r="I21" i="13"/>
  <c r="T7" i="13"/>
  <c r="M9" i="13"/>
  <c r="H18" i="13"/>
  <c r="T29" i="13"/>
  <c r="C37" i="13"/>
  <c r="C16" i="13"/>
  <c r="Q18" i="13"/>
  <c r="K37" i="13"/>
  <c r="T11" i="13"/>
  <c r="F16" i="13"/>
  <c r="N38" i="13"/>
  <c r="E12" i="13"/>
  <c r="I16" i="13"/>
  <c r="C19" i="13"/>
  <c r="X25" i="13"/>
  <c r="O38" i="13"/>
  <c r="N20" i="13"/>
  <c r="D27" i="13"/>
  <c r="W7" i="13"/>
  <c r="N17" i="13"/>
  <c r="O20" i="13"/>
  <c r="L27" i="13"/>
  <c r="X7" i="13"/>
  <c r="V12" i="13"/>
  <c r="V17" i="13"/>
  <c r="K19" i="13"/>
  <c r="W20" i="13"/>
  <c r="U27" i="13"/>
  <c r="M30" i="13"/>
  <c r="K34" i="13"/>
  <c r="W35" i="13"/>
  <c r="L37" i="13"/>
  <c r="X38" i="13"/>
  <c r="E30" i="13"/>
  <c r="V35" i="13"/>
  <c r="N8" i="13"/>
  <c r="P10" i="13"/>
  <c r="W12" i="13"/>
  <c r="K16" i="13"/>
  <c r="W17" i="13"/>
  <c r="L19" i="13"/>
  <c r="X20" i="13"/>
  <c r="O25" i="13"/>
  <c r="V27" i="13"/>
  <c r="V30" i="13"/>
  <c r="S34" i="13"/>
  <c r="G36" i="13"/>
  <c r="T37" i="13"/>
  <c r="H39" i="13"/>
  <c r="Y36" i="13"/>
  <c r="U9" i="13"/>
  <c r="W38" i="13"/>
  <c r="V9" i="13"/>
  <c r="X10" i="13"/>
  <c r="S16" i="13"/>
  <c r="G18" i="13"/>
  <c r="T19" i="13"/>
  <c r="H21" i="13"/>
  <c r="W25" i="13"/>
  <c r="P28" i="13"/>
  <c r="W30" i="13"/>
  <c r="T34" i="13"/>
  <c r="H36" i="13"/>
  <c r="U37" i="13"/>
  <c r="I39" i="13"/>
  <c r="U19" i="13"/>
  <c r="D35" i="13"/>
  <c r="P36" i="13"/>
  <c r="E38" i="13"/>
  <c r="Q39" i="13"/>
  <c r="S8" i="13"/>
  <c r="Y10" i="13"/>
  <c r="W8" i="13"/>
  <c r="S11" i="13"/>
  <c r="P18" i="13"/>
  <c r="Q21" i="13"/>
  <c r="E35" i="13"/>
  <c r="Q36" i="13"/>
  <c r="F38" i="13"/>
  <c r="S39" i="13"/>
  <c r="L12" i="13"/>
  <c r="Q11" i="13"/>
  <c r="N10" i="13"/>
  <c r="K9" i="13"/>
  <c r="P8" i="13"/>
  <c r="M7" i="13"/>
  <c r="K12" i="13"/>
  <c r="P11" i="13"/>
  <c r="M10" i="13"/>
  <c r="O8" i="13"/>
  <c r="L7" i="13"/>
  <c r="O11" i="13"/>
  <c r="L10" i="13"/>
  <c r="Q12" i="13"/>
  <c r="N11" i="13"/>
  <c r="K10" i="13"/>
  <c r="P9" i="13"/>
  <c r="M8" i="13"/>
  <c r="P12" i="13"/>
  <c r="M11" i="13"/>
  <c r="O9" i="13"/>
  <c r="L8" i="13"/>
  <c r="Q7" i="13"/>
  <c r="O12" i="13"/>
  <c r="L11" i="13"/>
  <c r="Q10" i="13"/>
  <c r="N9" i="13"/>
  <c r="K8" i="13"/>
  <c r="P7" i="13"/>
  <c r="N12" i="13"/>
  <c r="C30" i="13"/>
  <c r="H29" i="13"/>
  <c r="E28" i="13"/>
  <c r="G26" i="13"/>
  <c r="D25" i="13"/>
  <c r="G29" i="13"/>
  <c r="D28" i="13"/>
  <c r="I27" i="13"/>
  <c r="F26" i="13"/>
  <c r="C25" i="13"/>
  <c r="I30" i="13"/>
  <c r="F29" i="13"/>
  <c r="C28" i="13"/>
  <c r="H27" i="13"/>
  <c r="E26" i="13"/>
  <c r="H30" i="13"/>
  <c r="E29" i="13"/>
  <c r="G27" i="13"/>
  <c r="D26" i="13"/>
  <c r="I25" i="13"/>
  <c r="G30" i="13"/>
  <c r="D29" i="13"/>
  <c r="I28" i="13"/>
  <c r="F27" i="13"/>
  <c r="C26" i="13"/>
  <c r="H25" i="13"/>
  <c r="F30" i="13"/>
  <c r="C29" i="13"/>
  <c r="H28" i="13"/>
  <c r="E27" i="13"/>
  <c r="G25" i="13"/>
  <c r="M27" i="13"/>
  <c r="I11" i="13"/>
  <c r="L30" i="13"/>
  <c r="Q29" i="13"/>
  <c r="N28" i="13"/>
  <c r="K27" i="13"/>
  <c r="P26" i="13"/>
  <c r="M25" i="13"/>
  <c r="K30" i="13"/>
  <c r="P29" i="13"/>
  <c r="M28" i="13"/>
  <c r="O26" i="13"/>
  <c r="L25" i="13"/>
  <c r="O29" i="13"/>
  <c r="L28" i="13"/>
  <c r="Q27" i="13"/>
  <c r="N26" i="13"/>
  <c r="K25" i="13"/>
  <c r="Q30" i="13"/>
  <c r="N29" i="13"/>
  <c r="K28" i="13"/>
  <c r="P27" i="13"/>
  <c r="M26" i="13"/>
  <c r="P30" i="13"/>
  <c r="M29" i="13"/>
  <c r="O27" i="13"/>
  <c r="L26" i="13"/>
  <c r="Q25" i="13"/>
  <c r="O30" i="13"/>
  <c r="L29" i="13"/>
  <c r="Q28" i="13"/>
  <c r="N27" i="13"/>
  <c r="K26" i="13"/>
  <c r="P25" i="13"/>
  <c r="I29" i="13"/>
  <c r="C9" i="13"/>
  <c r="K11" i="13"/>
  <c r="I26" i="13"/>
  <c r="K29" i="13"/>
  <c r="C12" i="13"/>
  <c r="H11" i="13"/>
  <c r="E10" i="13"/>
  <c r="G8" i="13"/>
  <c r="D7" i="13"/>
  <c r="G11" i="13"/>
  <c r="D10" i="13"/>
  <c r="I9" i="13"/>
  <c r="I12" i="13"/>
  <c r="F11" i="13"/>
  <c r="F8" i="13"/>
  <c r="C7" i="13"/>
  <c r="H12" i="13"/>
  <c r="E11" i="13"/>
  <c r="G9" i="13"/>
  <c r="D8" i="13"/>
  <c r="I7" i="13"/>
  <c r="G7" i="13"/>
  <c r="G12" i="13"/>
  <c r="D11" i="13"/>
  <c r="I10" i="13"/>
  <c r="F9" i="13"/>
  <c r="C8" i="13"/>
  <c r="H7" i="13"/>
  <c r="F12" i="13"/>
  <c r="C11" i="13"/>
  <c r="H10" i="13"/>
  <c r="E9" i="13"/>
  <c r="D9" i="13"/>
  <c r="E25" i="13"/>
  <c r="Q26" i="13"/>
  <c r="F28" i="13"/>
  <c r="F7" i="13"/>
  <c r="H8" i="13"/>
  <c r="H9" i="13"/>
  <c r="G10" i="13"/>
  <c r="F25" i="13"/>
  <c r="G28" i="13"/>
  <c r="E7" i="13"/>
  <c r="E8" i="13"/>
  <c r="F10" i="13"/>
  <c r="K7" i="13"/>
  <c r="I3" i="13" s="1"/>
  <c r="D3" i="13" s="1"/>
  <c r="I8" i="13"/>
  <c r="L9" i="13"/>
  <c r="O10" i="13"/>
  <c r="D12" i="13"/>
  <c r="N25" i="13"/>
  <c r="C27" i="13"/>
  <c r="O28" i="13"/>
  <c r="D30" i="13"/>
  <c r="L16" i="13"/>
  <c r="U16" i="13"/>
  <c r="F17" i="13"/>
  <c r="O17" i="13"/>
  <c r="X17" i="13"/>
  <c r="I18" i="13"/>
  <c r="S18" i="13"/>
  <c r="D19" i="13"/>
  <c r="M19" i="13"/>
  <c r="V19" i="13"/>
  <c r="G20" i="13"/>
  <c r="P20" i="13"/>
  <c r="Y20" i="13"/>
  <c r="K21" i="13"/>
  <c r="T21" i="13"/>
  <c r="Y25" i="13"/>
  <c r="T26" i="13"/>
  <c r="W27" i="13"/>
  <c r="U29" i="13"/>
  <c r="X30" i="13"/>
  <c r="C34" i="13"/>
  <c r="L34" i="13"/>
  <c r="U34" i="13"/>
  <c r="F35" i="13"/>
  <c r="O35" i="13"/>
  <c r="X35" i="13"/>
  <c r="I36" i="13"/>
  <c r="S36" i="13"/>
  <c r="D37" i="13"/>
  <c r="M37" i="13"/>
  <c r="V37" i="13"/>
  <c r="G38" i="13"/>
  <c r="P38" i="13"/>
  <c r="Y38" i="13"/>
  <c r="K39" i="13"/>
  <c r="T39" i="13"/>
  <c r="Y7" i="13"/>
  <c r="T8" i="13"/>
  <c r="W9" i="13"/>
  <c r="U11" i="13"/>
  <c r="X12" i="13"/>
  <c r="U8" i="13"/>
  <c r="X9" i="13"/>
  <c r="S10" i="13"/>
  <c r="V11" i="13"/>
  <c r="Y12" i="13"/>
  <c r="D16" i="13"/>
  <c r="M16" i="13"/>
  <c r="V16" i="13"/>
  <c r="G17" i="13"/>
  <c r="P17" i="13"/>
  <c r="Y17" i="13"/>
  <c r="K18" i="13"/>
  <c r="T18" i="13"/>
  <c r="E19" i="13"/>
  <c r="N19" i="13"/>
  <c r="W19" i="13"/>
  <c r="H20" i="13"/>
  <c r="Q20" i="13"/>
  <c r="C21" i="13"/>
  <c r="L21" i="13"/>
  <c r="U21" i="13"/>
  <c r="U26" i="13"/>
  <c r="X27" i="13"/>
  <c r="S28" i="13"/>
  <c r="V29" i="13"/>
  <c r="Y30" i="13"/>
  <c r="D34" i="13"/>
  <c r="M34" i="13"/>
  <c r="V34" i="13"/>
  <c r="G35" i="13"/>
  <c r="P35" i="13"/>
  <c r="Y35" i="13"/>
  <c r="K36" i="13"/>
  <c r="T36" i="13"/>
  <c r="E37" i="13"/>
  <c r="N37" i="13"/>
  <c r="W37" i="13"/>
  <c r="H38" i="13"/>
  <c r="Q38" i="13"/>
  <c r="C39" i="13"/>
  <c r="L39" i="13"/>
  <c r="U39" i="13"/>
  <c r="S7" i="13"/>
  <c r="V8" i="13"/>
  <c r="Y9" i="13"/>
  <c r="T10" i="13"/>
  <c r="W11" i="13"/>
  <c r="E16" i="13"/>
  <c r="N16" i="13"/>
  <c r="W16" i="13"/>
  <c r="H17" i="13"/>
  <c r="Q17" i="13"/>
  <c r="C18" i="13"/>
  <c r="L18" i="13"/>
  <c r="U18" i="13"/>
  <c r="F19" i="13"/>
  <c r="O19" i="13"/>
  <c r="X19" i="13"/>
  <c r="I20" i="13"/>
  <c r="S20" i="13"/>
  <c r="D21" i="13"/>
  <c r="M21" i="13"/>
  <c r="V21" i="13"/>
  <c r="S25" i="13"/>
  <c r="V26" i="13"/>
  <c r="Y27" i="13"/>
  <c r="T28" i="13"/>
  <c r="W29" i="13"/>
  <c r="E34" i="13"/>
  <c r="N34" i="13"/>
  <c r="W34" i="13"/>
  <c r="H35" i="13"/>
  <c r="Q35" i="13"/>
  <c r="C36" i="13"/>
  <c r="L36" i="13"/>
  <c r="U36" i="13"/>
  <c r="F37" i="13"/>
  <c r="O37" i="13"/>
  <c r="X37" i="13"/>
  <c r="I38" i="13"/>
  <c r="S38" i="13"/>
  <c r="D39" i="13"/>
  <c r="M39" i="13"/>
  <c r="V39" i="13"/>
  <c r="O16" i="13"/>
  <c r="X16" i="13"/>
  <c r="I17" i="13"/>
  <c r="S17" i="13"/>
  <c r="D18" i="13"/>
  <c r="M18" i="13"/>
  <c r="V18" i="13"/>
  <c r="G19" i="13"/>
  <c r="P19" i="13"/>
  <c r="Y19" i="13"/>
  <c r="K20" i="13"/>
  <c r="T20" i="13"/>
  <c r="E21" i="13"/>
  <c r="N21" i="13"/>
  <c r="W21" i="13"/>
  <c r="T25" i="13"/>
  <c r="W26" i="13"/>
  <c r="U28" i="13"/>
  <c r="X29" i="13"/>
  <c r="S30" i="13"/>
  <c r="F34" i="13"/>
  <c r="O34" i="13"/>
  <c r="X34" i="13"/>
  <c r="I35" i="13"/>
  <c r="S35" i="13"/>
  <c r="D36" i="13"/>
  <c r="M36" i="13"/>
  <c r="V36" i="13"/>
  <c r="G37" i="13"/>
  <c r="P37" i="13"/>
  <c r="Y37" i="13"/>
  <c r="K38" i="13"/>
  <c r="T38" i="13"/>
  <c r="E39" i="13"/>
  <c r="N39" i="13"/>
  <c r="W39" i="13"/>
  <c r="X8" i="13"/>
  <c r="S9" i="13"/>
  <c r="V10" i="13"/>
  <c r="P16" i="13"/>
  <c r="Y16" i="13"/>
  <c r="K17" i="13"/>
  <c r="T17" i="13"/>
  <c r="E18" i="13"/>
  <c r="N18" i="13"/>
  <c r="W18" i="13"/>
  <c r="H19" i="13"/>
  <c r="Q19" i="13"/>
  <c r="C20" i="13"/>
  <c r="L20" i="13"/>
  <c r="U20" i="13"/>
  <c r="F21" i="13"/>
  <c r="O21" i="13"/>
  <c r="X21" i="13"/>
  <c r="U25" i="13"/>
  <c r="X26" i="13"/>
  <c r="S27" i="13"/>
  <c r="V28" i="13"/>
  <c r="Y29" i="13"/>
  <c r="T30" i="13"/>
  <c r="G34" i="13"/>
  <c r="P34" i="13"/>
  <c r="Y34" i="13"/>
  <c r="K35" i="13"/>
  <c r="T35" i="13"/>
  <c r="E36" i="13"/>
  <c r="N36" i="13"/>
  <c r="W36" i="13"/>
  <c r="H37" i="13"/>
  <c r="Q37" i="13"/>
  <c r="C38" i="13"/>
  <c r="L38" i="13"/>
  <c r="U38" i="13"/>
  <c r="F39" i="13"/>
  <c r="O39" i="13"/>
  <c r="X39" i="13"/>
  <c r="U10" i="13"/>
  <c r="X11" i="13"/>
  <c r="S12" i="13"/>
  <c r="U7" i="13"/>
  <c r="Y11" i="13"/>
  <c r="T12" i="13"/>
  <c r="G16" i="13"/>
  <c r="V7" i="13"/>
  <c r="Y8" i="13"/>
  <c r="T9" i="13"/>
  <c r="W10" i="13"/>
  <c r="H16" i="13"/>
  <c r="Q16" i="13"/>
  <c r="C17" i="13"/>
  <c r="L17" i="13"/>
  <c r="U17" i="13"/>
  <c r="F18" i="13"/>
  <c r="O18" i="13"/>
  <c r="X18" i="13"/>
  <c r="I19" i="13"/>
  <c r="S19" i="13"/>
  <c r="D20" i="13"/>
  <c r="M20" i="13"/>
  <c r="V20" i="13"/>
  <c r="V25" i="13"/>
  <c r="Y26" i="13"/>
  <c r="T27" i="13"/>
  <c r="W28" i="13"/>
  <c r="H34" i="13"/>
  <c r="Q34" i="13"/>
  <c r="C35" i="13"/>
  <c r="L35" i="13"/>
  <c r="U35" i="13"/>
  <c r="F36" i="13"/>
  <c r="O36" i="13"/>
  <c r="X36" i="13"/>
  <c r="I37" i="13"/>
  <c r="S37" i="13"/>
  <c r="D38" i="13"/>
  <c r="M38" i="13"/>
  <c r="V38" i="13"/>
  <c r="T6" i="11" l="1"/>
  <c r="U6" i="11"/>
  <c r="V6" i="11"/>
  <c r="W6" i="11"/>
  <c r="X6" i="11"/>
  <c r="Y6" i="11"/>
  <c r="L6" i="11"/>
  <c r="M6" i="11"/>
  <c r="N6" i="11"/>
  <c r="O6" i="11"/>
  <c r="P6" i="11"/>
  <c r="Q6" i="11"/>
  <c r="D6" i="11"/>
  <c r="E6" i="11"/>
  <c r="F6" i="11"/>
  <c r="G6" i="11"/>
  <c r="H6" i="11"/>
  <c r="I6" i="11"/>
  <c r="T15" i="11"/>
  <c r="U15" i="11"/>
  <c r="V15" i="11"/>
  <c r="W15" i="11"/>
  <c r="X15" i="11"/>
  <c r="Y15" i="11"/>
  <c r="L15" i="11"/>
  <c r="M15" i="11"/>
  <c r="N15" i="11"/>
  <c r="O15" i="11"/>
  <c r="P15" i="11"/>
  <c r="Q15" i="11"/>
  <c r="D15" i="11"/>
  <c r="E15" i="11"/>
  <c r="F15" i="11"/>
  <c r="G15" i="11"/>
  <c r="H15" i="11"/>
  <c r="I15" i="11"/>
  <c r="T24" i="11"/>
  <c r="U24" i="11"/>
  <c r="V24" i="11"/>
  <c r="W24" i="11"/>
  <c r="X24" i="11"/>
  <c r="Y24" i="11"/>
  <c r="L24" i="11"/>
  <c r="M24" i="11"/>
  <c r="N24" i="11"/>
  <c r="O24" i="11"/>
  <c r="P24" i="11"/>
  <c r="Q24" i="11"/>
  <c r="D24" i="11"/>
  <c r="E24" i="11"/>
  <c r="F24" i="11"/>
  <c r="G24" i="11"/>
  <c r="H24" i="11"/>
  <c r="I24" i="11"/>
  <c r="T33" i="11"/>
  <c r="U33" i="11"/>
  <c r="V33" i="11"/>
  <c r="W33" i="11"/>
  <c r="X33" i="11"/>
  <c r="Y33" i="11"/>
  <c r="Q33" i="11"/>
  <c r="L33" i="11"/>
  <c r="M33" i="11"/>
  <c r="N33" i="11"/>
  <c r="O33" i="11"/>
  <c r="P33" i="11"/>
  <c r="D33" i="11"/>
  <c r="E33" i="11"/>
  <c r="F33" i="11"/>
  <c r="G33" i="11"/>
  <c r="H33" i="11"/>
  <c r="I33" i="11"/>
  <c r="S33" i="11"/>
  <c r="K33" i="11"/>
  <c r="C33" i="11"/>
  <c r="S24" i="11"/>
  <c r="K24" i="11"/>
  <c r="C24" i="11"/>
  <c r="S15" i="11"/>
  <c r="K15" i="11"/>
  <c r="C15" i="11"/>
  <c r="S6" i="11"/>
  <c r="K6" i="11"/>
  <c r="C6" i="11"/>
  <c r="S31" i="11"/>
  <c r="S35" i="11" s="1"/>
  <c r="K31" i="11"/>
  <c r="P35" i="11" s="1"/>
  <c r="C31" i="11"/>
  <c r="E39" i="11" s="1"/>
  <c r="S22" i="11"/>
  <c r="S27" i="11" s="1"/>
  <c r="K22" i="11"/>
  <c r="O26" i="11" s="1"/>
  <c r="C22" i="11"/>
  <c r="D26" i="11" s="1"/>
  <c r="S13" i="11"/>
  <c r="Y17" i="11" s="1"/>
  <c r="K13" i="11"/>
  <c r="N17" i="11" s="1"/>
  <c r="C13" i="11"/>
  <c r="C17" i="11" s="1"/>
  <c r="S4" i="11"/>
  <c r="X8" i="11" s="1"/>
  <c r="K4" i="11"/>
  <c r="M8" i="11" s="1"/>
  <c r="C4" i="11"/>
  <c r="C9" i="11" l="1"/>
  <c r="K32" i="11"/>
  <c r="S5" i="11"/>
  <c r="S14" i="11"/>
  <c r="S23" i="11"/>
  <c r="C23" i="11"/>
  <c r="K14" i="11"/>
  <c r="C32" i="11"/>
  <c r="C14" i="11"/>
  <c r="K23" i="11"/>
  <c r="S32" i="11"/>
  <c r="K5" i="11"/>
  <c r="C5" i="11"/>
  <c r="V8" i="11"/>
  <c r="E29" i="11"/>
  <c r="G38" i="11"/>
  <c r="F21" i="11"/>
  <c r="E28" i="11"/>
  <c r="C39" i="11"/>
  <c r="E21" i="11"/>
  <c r="D28" i="11"/>
  <c r="K39" i="11"/>
  <c r="F16" i="11"/>
  <c r="D20" i="11"/>
  <c r="C27" i="11"/>
  <c r="N35" i="11"/>
  <c r="L25" i="11"/>
  <c r="I17" i="11"/>
  <c r="P29" i="11"/>
  <c r="V39" i="11"/>
  <c r="O12" i="11"/>
  <c r="T21" i="11"/>
  <c r="P28" i="11"/>
  <c r="U39" i="11"/>
  <c r="K8" i="11"/>
  <c r="S20" i="11"/>
  <c r="O28" i="11"/>
  <c r="T38" i="11"/>
  <c r="S12" i="11"/>
  <c r="X17" i="11"/>
  <c r="N27" i="11"/>
  <c r="Y35" i="11"/>
  <c r="T30" i="11"/>
  <c r="U25" i="11"/>
  <c r="S29" i="11"/>
  <c r="F37" i="11"/>
  <c r="Q38" i="11"/>
  <c r="U7" i="11"/>
  <c r="I9" i="11"/>
  <c r="G34" i="11"/>
  <c r="N10" i="11"/>
  <c r="Y10" i="11"/>
  <c r="E20" i="11"/>
  <c r="Y18" i="11"/>
  <c r="D27" i="11"/>
  <c r="O27" i="11"/>
  <c r="S28" i="11"/>
  <c r="F36" i="11"/>
  <c r="Q37" i="11"/>
  <c r="U38" i="11"/>
  <c r="G37" i="11"/>
  <c r="C11" i="11"/>
  <c r="O11" i="11"/>
  <c r="T29" i="11"/>
  <c r="T7" i="11"/>
  <c r="K7" i="11"/>
  <c r="I3" i="11" s="1"/>
  <c r="D3" i="11" s="1"/>
  <c r="G16" i="11"/>
  <c r="H8" i="11"/>
  <c r="Q34" i="11"/>
  <c r="M9" i="11"/>
  <c r="X9" i="11"/>
  <c r="D19" i="11"/>
  <c r="G30" i="11"/>
  <c r="C26" i="11"/>
  <c r="N26" i="11"/>
  <c r="Y26" i="11"/>
  <c r="E35" i="11"/>
  <c r="P36" i="11"/>
  <c r="T37" i="11"/>
  <c r="D11" i="11"/>
  <c r="I7" i="11"/>
  <c r="C10" i="11"/>
  <c r="C7" i="11"/>
  <c r="Y27" i="11"/>
  <c r="P37" i="11"/>
  <c r="S25" i="11"/>
  <c r="E12" i="11"/>
  <c r="W16" i="11"/>
  <c r="T34" i="11"/>
  <c r="L9" i="11"/>
  <c r="W9" i="11"/>
  <c r="C19" i="11"/>
  <c r="F30" i="11"/>
  <c r="Q30" i="11"/>
  <c r="M26" i="11"/>
  <c r="X26" i="11"/>
  <c r="D35" i="11"/>
  <c r="O36" i="11"/>
  <c r="S37" i="11"/>
  <c r="H7" i="11"/>
  <c r="V25" i="11"/>
  <c r="N11" i="11"/>
  <c r="Y11" i="11"/>
  <c r="I8" i="11"/>
  <c r="H34" i="11"/>
  <c r="M10" i="11"/>
  <c r="X10" i="11"/>
  <c r="E36" i="11"/>
  <c r="C34" i="11"/>
  <c r="D12" i="11"/>
  <c r="I25" i="11"/>
  <c r="P12" i="11"/>
  <c r="L8" i="11"/>
  <c r="W8" i="11"/>
  <c r="C18" i="11"/>
  <c r="F29" i="11"/>
  <c r="Q29" i="11"/>
  <c r="U30" i="11"/>
  <c r="H38" i="11"/>
  <c r="D39" i="11"/>
  <c r="O35" i="11"/>
  <c r="S36" i="11"/>
  <c r="S7" i="11"/>
  <c r="K34" i="11"/>
  <c r="L7" i="11"/>
  <c r="V7" i="11"/>
  <c r="H16" i="11"/>
  <c r="C12" i="11"/>
  <c r="I10" i="11"/>
  <c r="H9" i="11"/>
  <c r="G8" i="11"/>
  <c r="O16" i="11"/>
  <c r="Y16" i="11"/>
  <c r="M25" i="11"/>
  <c r="W25" i="11"/>
  <c r="I34" i="11"/>
  <c r="U34" i="11"/>
  <c r="N12" i="11"/>
  <c r="M11" i="11"/>
  <c r="L10" i="11"/>
  <c r="K9" i="11"/>
  <c r="Y12" i="11"/>
  <c r="X11" i="11"/>
  <c r="W10" i="11"/>
  <c r="V9" i="11"/>
  <c r="U8" i="11"/>
  <c r="D21" i="11"/>
  <c r="C20" i="11"/>
  <c r="I18" i="11"/>
  <c r="H17" i="11"/>
  <c r="O21" i="11"/>
  <c r="N20" i="11"/>
  <c r="M19" i="11"/>
  <c r="L18" i="11"/>
  <c r="K17" i="11"/>
  <c r="Y20" i="11"/>
  <c r="X19" i="11"/>
  <c r="W18" i="11"/>
  <c r="V17" i="11"/>
  <c r="E30" i="11"/>
  <c r="D29" i="11"/>
  <c r="C28" i="11"/>
  <c r="I26" i="11"/>
  <c r="P30" i="11"/>
  <c r="O29" i="11"/>
  <c r="N28" i="11"/>
  <c r="M27" i="11"/>
  <c r="L26" i="11"/>
  <c r="S30" i="11"/>
  <c r="Y28" i="11"/>
  <c r="X27" i="11"/>
  <c r="W26" i="11"/>
  <c r="F38" i="11"/>
  <c r="E37" i="11"/>
  <c r="D36" i="11"/>
  <c r="C35" i="11"/>
  <c r="Q39" i="11"/>
  <c r="P38" i="11"/>
  <c r="O37" i="11"/>
  <c r="N36" i="11"/>
  <c r="M35" i="11"/>
  <c r="T39" i="11"/>
  <c r="S38" i="11"/>
  <c r="Y36" i="11"/>
  <c r="X35" i="11"/>
  <c r="P20" i="11"/>
  <c r="N18" i="11"/>
  <c r="P21" i="11"/>
  <c r="M18" i="11"/>
  <c r="S21" i="11"/>
  <c r="X18" i="11"/>
  <c r="C16" i="11"/>
  <c r="S34" i="11"/>
  <c r="M7" i="11"/>
  <c r="W7" i="11"/>
  <c r="I16" i="11"/>
  <c r="I11" i="11"/>
  <c r="H10" i="11"/>
  <c r="G9" i="11"/>
  <c r="F8" i="11"/>
  <c r="P16" i="11"/>
  <c r="D25" i="11"/>
  <c r="N25" i="11"/>
  <c r="X25" i="11"/>
  <c r="L34" i="11"/>
  <c r="V34" i="11"/>
  <c r="M12" i="11"/>
  <c r="L11" i="11"/>
  <c r="K10" i="11"/>
  <c r="Q8" i="11"/>
  <c r="X12" i="11"/>
  <c r="W11" i="11"/>
  <c r="V10" i="11"/>
  <c r="U9" i="11"/>
  <c r="T8" i="11"/>
  <c r="C21" i="11"/>
  <c r="I19" i="11"/>
  <c r="H18" i="11"/>
  <c r="G17" i="11"/>
  <c r="N21" i="11"/>
  <c r="M20" i="11"/>
  <c r="L19" i="11"/>
  <c r="K18" i="11"/>
  <c r="Y21" i="11"/>
  <c r="X20" i="11"/>
  <c r="W19" i="11"/>
  <c r="V18" i="11"/>
  <c r="U17" i="11"/>
  <c r="D30" i="11"/>
  <c r="C29" i="11"/>
  <c r="I27" i="11"/>
  <c r="H26" i="11"/>
  <c r="O30" i="11"/>
  <c r="N29" i="11"/>
  <c r="M28" i="11"/>
  <c r="L27" i="11"/>
  <c r="K26" i="11"/>
  <c r="Y29" i="11"/>
  <c r="X28" i="11"/>
  <c r="W27" i="11"/>
  <c r="V26" i="11"/>
  <c r="E38" i="11"/>
  <c r="D37" i="11"/>
  <c r="C36" i="11"/>
  <c r="I39" i="11"/>
  <c r="P39" i="11"/>
  <c r="O38" i="11"/>
  <c r="N37" i="11"/>
  <c r="M36" i="11"/>
  <c r="L35" i="11"/>
  <c r="S39" i="11"/>
  <c r="Y37" i="11"/>
  <c r="X36" i="11"/>
  <c r="W35" i="11"/>
  <c r="Q21" i="11"/>
  <c r="O19" i="11"/>
  <c r="M17" i="11"/>
  <c r="O20" i="11"/>
  <c r="L17" i="11"/>
  <c r="Y19" i="11"/>
  <c r="W17" i="11"/>
  <c r="K16" i="11"/>
  <c r="D7" i="11"/>
  <c r="N7" i="11"/>
  <c r="X7" i="11"/>
  <c r="I12" i="11"/>
  <c r="H11" i="11"/>
  <c r="G10" i="11"/>
  <c r="F9" i="11"/>
  <c r="E8" i="11"/>
  <c r="Q16" i="11"/>
  <c r="E25" i="11"/>
  <c r="O25" i="11"/>
  <c r="Y25" i="11"/>
  <c r="M34" i="11"/>
  <c r="W34" i="11"/>
  <c r="L12" i="11"/>
  <c r="K11" i="11"/>
  <c r="Q9" i="11"/>
  <c r="P8" i="11"/>
  <c r="W12" i="11"/>
  <c r="V11" i="11"/>
  <c r="U10" i="11"/>
  <c r="T9" i="11"/>
  <c r="S8" i="11"/>
  <c r="I20" i="11"/>
  <c r="H19" i="11"/>
  <c r="G18" i="11"/>
  <c r="F17" i="11"/>
  <c r="M21" i="11"/>
  <c r="L20" i="11"/>
  <c r="K19" i="11"/>
  <c r="Q17" i="11"/>
  <c r="X21" i="11"/>
  <c r="W20" i="11"/>
  <c r="V19" i="11"/>
  <c r="U18" i="11"/>
  <c r="T17" i="11"/>
  <c r="C30" i="11"/>
  <c r="I28" i="11"/>
  <c r="H27" i="11"/>
  <c r="G26" i="11"/>
  <c r="N30" i="11"/>
  <c r="M29" i="11"/>
  <c r="L28" i="11"/>
  <c r="K27" i="11"/>
  <c r="Y30" i="11"/>
  <c r="X29" i="11"/>
  <c r="W28" i="11"/>
  <c r="V27" i="11"/>
  <c r="U26" i="11"/>
  <c r="D38" i="11"/>
  <c r="C37" i="11"/>
  <c r="I35" i="11"/>
  <c r="H39" i="11"/>
  <c r="O39" i="11"/>
  <c r="N38" i="11"/>
  <c r="M37" i="11"/>
  <c r="L36" i="11"/>
  <c r="K35" i="11"/>
  <c r="Y38" i="11"/>
  <c r="X37" i="11"/>
  <c r="W36" i="11"/>
  <c r="V35" i="11"/>
  <c r="S16" i="11"/>
  <c r="E7" i="11"/>
  <c r="O7" i="11"/>
  <c r="Y7" i="11"/>
  <c r="H12" i="11"/>
  <c r="G11" i="11"/>
  <c r="F10" i="11"/>
  <c r="E9" i="11"/>
  <c r="D8" i="11"/>
  <c r="T16" i="11"/>
  <c r="F25" i="11"/>
  <c r="P25" i="11"/>
  <c r="D34" i="11"/>
  <c r="N34" i="11"/>
  <c r="X34" i="11"/>
  <c r="K12" i="11"/>
  <c r="Q10" i="11"/>
  <c r="P9" i="11"/>
  <c r="O8" i="11"/>
  <c r="V12" i="11"/>
  <c r="U11" i="11"/>
  <c r="T10" i="11"/>
  <c r="S9" i="11"/>
  <c r="I21" i="11"/>
  <c r="H20" i="11"/>
  <c r="G19" i="11"/>
  <c r="F18" i="11"/>
  <c r="E17" i="11"/>
  <c r="L21" i="11"/>
  <c r="K20" i="11"/>
  <c r="Q18" i="11"/>
  <c r="P17" i="11"/>
  <c r="W21" i="11"/>
  <c r="V20" i="11"/>
  <c r="U19" i="11"/>
  <c r="T18" i="11"/>
  <c r="S17" i="11"/>
  <c r="I29" i="11"/>
  <c r="H28" i="11"/>
  <c r="G27" i="11"/>
  <c r="F26" i="11"/>
  <c r="M30" i="11"/>
  <c r="L29" i="11"/>
  <c r="K28" i="11"/>
  <c r="Q26" i="11"/>
  <c r="X30" i="11"/>
  <c r="W29" i="11"/>
  <c r="V28" i="11"/>
  <c r="U27" i="11"/>
  <c r="T26" i="11"/>
  <c r="C38" i="11"/>
  <c r="I36" i="11"/>
  <c r="H35" i="11"/>
  <c r="G39" i="11"/>
  <c r="N39" i="11"/>
  <c r="M38" i="11"/>
  <c r="L37" i="11"/>
  <c r="K36" i="11"/>
  <c r="Y39" i="11"/>
  <c r="X38" i="11"/>
  <c r="W37" i="11"/>
  <c r="V36" i="11"/>
  <c r="U35" i="11"/>
  <c r="C25" i="11"/>
  <c r="F7" i="11"/>
  <c r="P7" i="11"/>
  <c r="D16" i="11"/>
  <c r="G12" i="11"/>
  <c r="F11" i="11"/>
  <c r="E10" i="11"/>
  <c r="D9" i="11"/>
  <c r="C8" i="11"/>
  <c r="U16" i="11"/>
  <c r="G25" i="11"/>
  <c r="Q25" i="11"/>
  <c r="E34" i="11"/>
  <c r="O34" i="11"/>
  <c r="Y34" i="11"/>
  <c r="Q11" i="11"/>
  <c r="P10" i="11"/>
  <c r="O9" i="11"/>
  <c r="N8" i="11"/>
  <c r="U12" i="11"/>
  <c r="T11" i="11"/>
  <c r="S10" i="11"/>
  <c r="Y8" i="11"/>
  <c r="H21" i="11"/>
  <c r="G20" i="11"/>
  <c r="F19" i="11"/>
  <c r="E18" i="11"/>
  <c r="D17" i="11"/>
  <c r="K21" i="11"/>
  <c r="Q19" i="11"/>
  <c r="P18" i="11"/>
  <c r="O17" i="11"/>
  <c r="V21" i="11"/>
  <c r="U20" i="11"/>
  <c r="T19" i="11"/>
  <c r="S18" i="11"/>
  <c r="I30" i="11"/>
  <c r="H29" i="11"/>
  <c r="G28" i="11"/>
  <c r="F27" i="11"/>
  <c r="E26" i="11"/>
  <c r="L30" i="11"/>
  <c r="K29" i="11"/>
  <c r="Q27" i="11"/>
  <c r="P26" i="11"/>
  <c r="W30" i="11"/>
  <c r="V29" i="11"/>
  <c r="U28" i="11"/>
  <c r="T27" i="11"/>
  <c r="S26" i="11"/>
  <c r="I37" i="11"/>
  <c r="H36" i="11"/>
  <c r="G35" i="11"/>
  <c r="F39" i="11"/>
  <c r="M39" i="11"/>
  <c r="L38" i="11"/>
  <c r="K37" i="11"/>
  <c r="Q35" i="11"/>
  <c r="X39" i="11"/>
  <c r="W38" i="11"/>
  <c r="V37" i="11"/>
  <c r="U36" i="11"/>
  <c r="T35" i="11"/>
  <c r="M16" i="11"/>
  <c r="N16" i="11"/>
  <c r="X16" i="11"/>
  <c r="N19" i="11"/>
  <c r="K25" i="11"/>
  <c r="G7" i="11"/>
  <c r="Q7" i="11"/>
  <c r="E16" i="11"/>
  <c r="F12" i="11"/>
  <c r="E11" i="11"/>
  <c r="D10" i="11"/>
  <c r="L16" i="11"/>
  <c r="V16" i="11"/>
  <c r="H25" i="11"/>
  <c r="T25" i="11"/>
  <c r="F34" i="11"/>
  <c r="P34" i="11"/>
  <c r="Q12" i="11"/>
  <c r="P11" i="11"/>
  <c r="O10" i="11"/>
  <c r="N9" i="11"/>
  <c r="T12" i="11"/>
  <c r="S11" i="11"/>
  <c r="Y9" i="11"/>
  <c r="G21" i="11"/>
  <c r="F20" i="11"/>
  <c r="E19" i="11"/>
  <c r="D18" i="11"/>
  <c r="Q20" i="11"/>
  <c r="P19" i="11"/>
  <c r="O18" i="11"/>
  <c r="U21" i="11"/>
  <c r="T20" i="11"/>
  <c r="S19" i="11"/>
  <c r="H30" i="11"/>
  <c r="G29" i="11"/>
  <c r="F28" i="11"/>
  <c r="E27" i="11"/>
  <c r="K30" i="11"/>
  <c r="Q28" i="11"/>
  <c r="P27" i="11"/>
  <c r="V30" i="11"/>
  <c r="U29" i="11"/>
  <c r="T28" i="11"/>
  <c r="I38" i="11"/>
  <c r="H37" i="11"/>
  <c r="G36" i="11"/>
  <c r="F35" i="11"/>
  <c r="L39" i="11"/>
  <c r="K38" i="11"/>
  <c r="Q36" i="11"/>
  <c r="W39" i="11"/>
  <c r="V38" i="11"/>
  <c r="U37" i="11"/>
  <c r="T36" i="11"/>
  <c r="Z3" i="2"/>
  <c r="Y3" i="2"/>
  <c r="X3" i="2"/>
  <c r="W3" i="2"/>
  <c r="U3" i="2"/>
  <c r="T3" i="2"/>
  <c r="S3" i="2"/>
  <c r="AE23" i="2"/>
  <c r="AE16" i="2"/>
  <c r="AE15" i="2"/>
  <c r="AD15" i="2" s="1"/>
  <c r="AE14" i="2"/>
  <c r="AD14" i="2" s="1"/>
  <c r="AE13" i="2"/>
  <c r="AD13" i="2" s="1"/>
  <c r="AE9" i="2"/>
  <c r="AD9" i="2" s="1"/>
  <c r="AE7" i="2"/>
  <c r="AD7" i="2" s="1"/>
  <c r="P23" i="2"/>
  <c r="Z16" i="2"/>
  <c r="Y16" i="2" s="1"/>
  <c r="Z14" i="2"/>
  <c r="Y14" i="2" s="1"/>
  <c r="Z10" i="2"/>
  <c r="Y10" i="2" s="1"/>
  <c r="Z7" i="2"/>
  <c r="Y7" i="2" s="1"/>
  <c r="U19" i="2"/>
  <c r="T19" i="2" s="1"/>
  <c r="U18" i="2"/>
  <c r="T18" i="2" s="1"/>
  <c r="U17" i="2"/>
  <c r="T17" i="2" s="1"/>
  <c r="U16" i="2"/>
  <c r="T16" i="2" s="1"/>
  <c r="U15" i="2"/>
  <c r="T15" i="2" s="1"/>
  <c r="U14" i="2"/>
  <c r="T14" i="2" s="1"/>
  <c r="U13" i="2"/>
  <c r="T13" i="2" s="1"/>
  <c r="U11" i="2"/>
  <c r="T11" i="2" s="1"/>
  <c r="U10" i="2"/>
  <c r="T10" i="2" s="1"/>
  <c r="U7" i="2"/>
  <c r="T7" i="2" s="1"/>
  <c r="P16" i="2"/>
  <c r="O16" i="2" s="1"/>
  <c r="P15" i="2"/>
  <c r="O15" i="2" s="1"/>
  <c r="P14" i="2"/>
  <c r="O14" i="2" s="1"/>
  <c r="P13" i="2"/>
  <c r="O13" i="2" s="1"/>
  <c r="P12" i="2"/>
  <c r="O12" i="2" s="1"/>
  <c r="P9" i="2"/>
  <c r="O9" i="2" s="1"/>
  <c r="P7" i="2"/>
  <c r="O7" i="2" s="1"/>
  <c r="Z23" i="2"/>
  <c r="F23" i="2"/>
  <c r="E23" i="2" s="1"/>
  <c r="K23" i="2"/>
  <c r="K17" i="2"/>
  <c r="J17" i="2" s="1"/>
  <c r="K16" i="2"/>
  <c r="J16" i="2" s="1"/>
  <c r="K15" i="2"/>
  <c r="J15" i="2" s="1"/>
  <c r="K14" i="2"/>
  <c r="J14" i="2" s="1"/>
  <c r="K13" i="2"/>
  <c r="J13" i="2" s="1"/>
  <c r="K10" i="2"/>
  <c r="J10" i="2" s="1"/>
  <c r="K9" i="2"/>
  <c r="J9" i="2" s="1"/>
  <c r="K7" i="2"/>
  <c r="J7" i="2" s="1"/>
  <c r="F16" i="2"/>
  <c r="E16" i="2" s="1"/>
  <c r="F15" i="2"/>
  <c r="E15" i="2" s="1"/>
  <c r="F14" i="2"/>
  <c r="E14" i="2" s="1"/>
  <c r="F13" i="2"/>
  <c r="E13" i="2" s="1"/>
  <c r="F9" i="2"/>
  <c r="E9" i="2" s="1"/>
  <c r="U23" i="2"/>
  <c r="F7" i="2"/>
  <c r="E7" i="2" s="1"/>
  <c r="J3" i="2"/>
  <c r="H3" i="2"/>
  <c r="G3" i="2"/>
  <c r="F3" i="2"/>
  <c r="E3" i="2"/>
  <c r="D3" i="2"/>
  <c r="K24" i="2" l="1"/>
  <c r="J24" i="2" s="1"/>
  <c r="J23" i="2"/>
  <c r="Z8" i="2"/>
  <c r="Y8" i="2" s="1"/>
  <c r="Z13" i="2"/>
  <c r="Y13" i="2" s="1"/>
  <c r="Y23" i="2"/>
  <c r="P10" i="2"/>
  <c r="O10" i="2" s="1"/>
  <c r="O23" i="2"/>
  <c r="U24" i="2"/>
  <c r="T24" i="2" s="1"/>
  <c r="T23" i="2"/>
  <c r="AE24" i="2"/>
  <c r="AD24" i="2" s="1"/>
  <c r="AD23" i="2"/>
  <c r="AE17" i="2"/>
  <c r="AD17" i="2" s="1"/>
  <c r="AD16" i="2"/>
  <c r="K11" i="2"/>
  <c r="J11" i="2" s="1"/>
  <c r="U8" i="2"/>
  <c r="T8" i="2" s="1"/>
  <c r="U9" i="2"/>
  <c r="T9" i="2" s="1"/>
  <c r="U12" i="2"/>
  <c r="T12" i="2" s="1"/>
  <c r="K8" i="2"/>
  <c r="J8" i="2" s="1"/>
  <c r="K12" i="2"/>
  <c r="J12" i="2" s="1"/>
  <c r="AE12" i="2"/>
  <c r="AD12" i="2" s="1"/>
  <c r="AE8" i="2"/>
  <c r="AD8" i="2" s="1"/>
  <c r="AE11" i="2"/>
  <c r="AD11" i="2" s="1"/>
  <c r="P24" i="2"/>
  <c r="O24" i="2" s="1"/>
  <c r="P8" i="2"/>
  <c r="O8" i="2" s="1"/>
  <c r="P11" i="2"/>
  <c r="O11" i="2" s="1"/>
  <c r="Z11" i="2"/>
  <c r="Y11" i="2" s="1"/>
  <c r="Z12" i="2"/>
  <c r="Y12" i="2" s="1"/>
  <c r="Z24" i="2"/>
  <c r="Y24" i="2" s="1"/>
  <c r="Z9" i="2"/>
  <c r="Y9" i="2" s="1"/>
  <c r="T33" i="9"/>
  <c r="U33" i="9"/>
  <c r="V33" i="9"/>
  <c r="W33" i="9"/>
  <c r="X33" i="9"/>
  <c r="Y33" i="9"/>
  <c r="L33" i="9"/>
  <c r="M33" i="9"/>
  <c r="N33" i="9"/>
  <c r="O33" i="9"/>
  <c r="P33" i="9"/>
  <c r="Q33" i="9"/>
  <c r="D33" i="9"/>
  <c r="E33" i="9"/>
  <c r="F33" i="9"/>
  <c r="G33" i="9"/>
  <c r="H33" i="9"/>
  <c r="I33" i="9"/>
  <c r="T24" i="9"/>
  <c r="U24" i="9"/>
  <c r="V24" i="9"/>
  <c r="W24" i="9"/>
  <c r="X24" i="9"/>
  <c r="Y24" i="9"/>
  <c r="L24" i="9"/>
  <c r="M24" i="9"/>
  <c r="N24" i="9"/>
  <c r="O24" i="9"/>
  <c r="P24" i="9"/>
  <c r="Q24" i="9"/>
  <c r="D24" i="9"/>
  <c r="E24" i="9"/>
  <c r="F24" i="9"/>
  <c r="G24" i="9"/>
  <c r="H24" i="9"/>
  <c r="I24" i="9"/>
  <c r="T15" i="9"/>
  <c r="U15" i="9"/>
  <c r="V15" i="9"/>
  <c r="W15" i="9"/>
  <c r="X15" i="9"/>
  <c r="Y15" i="9"/>
  <c r="L15" i="9"/>
  <c r="M15" i="9"/>
  <c r="N15" i="9"/>
  <c r="O15" i="9"/>
  <c r="P15" i="9"/>
  <c r="Q15" i="9"/>
  <c r="D15" i="9"/>
  <c r="E15" i="9"/>
  <c r="F15" i="9"/>
  <c r="G15" i="9"/>
  <c r="H15" i="9"/>
  <c r="I15" i="9"/>
  <c r="T6" i="9"/>
  <c r="U6" i="9"/>
  <c r="V6" i="9"/>
  <c r="W6" i="9"/>
  <c r="X6" i="9"/>
  <c r="Y6" i="9"/>
  <c r="L6" i="9"/>
  <c r="M6" i="9"/>
  <c r="N6" i="9"/>
  <c r="O6" i="9"/>
  <c r="P6" i="9"/>
  <c r="Q6" i="9"/>
  <c r="D6" i="9"/>
  <c r="E6" i="9"/>
  <c r="F6" i="9"/>
  <c r="G6" i="9"/>
  <c r="H6" i="9"/>
  <c r="I6" i="9"/>
  <c r="S33" i="9"/>
  <c r="K33" i="9"/>
  <c r="C33" i="9"/>
  <c r="S24" i="9"/>
  <c r="K24" i="9"/>
  <c r="C24" i="9"/>
  <c r="S15" i="9"/>
  <c r="K15" i="9"/>
  <c r="C15" i="9"/>
  <c r="S6" i="9"/>
  <c r="K6" i="9"/>
  <c r="S31" i="9"/>
  <c r="K31" i="9"/>
  <c r="C31" i="9"/>
  <c r="S22" i="9"/>
  <c r="K22" i="9"/>
  <c r="C22" i="9"/>
  <c r="S13" i="9"/>
  <c r="K13" i="9"/>
  <c r="C13" i="9"/>
  <c r="S4" i="9"/>
  <c r="K4" i="9"/>
  <c r="C6" i="9"/>
  <c r="S31" i="8"/>
  <c r="S35" i="8" s="1"/>
  <c r="K31" i="8"/>
  <c r="P35" i="8" s="1"/>
  <c r="C31" i="8"/>
  <c r="E35" i="8" s="1"/>
  <c r="S22" i="8"/>
  <c r="S27" i="8" s="1"/>
  <c r="K22" i="8"/>
  <c r="O26" i="8" s="1"/>
  <c r="C22" i="8"/>
  <c r="D26" i="8" s="1"/>
  <c r="S13" i="8"/>
  <c r="X17" i="8" s="1"/>
  <c r="K13" i="8"/>
  <c r="M17" i="8" s="1"/>
  <c r="C13" i="8"/>
  <c r="S4" i="8"/>
  <c r="K4" i="8"/>
  <c r="T33" i="8"/>
  <c r="U33" i="8"/>
  <c r="V33" i="8"/>
  <c r="W33" i="8"/>
  <c r="X33" i="8"/>
  <c r="Y33" i="8"/>
  <c r="L33" i="8"/>
  <c r="M33" i="8"/>
  <c r="N33" i="8"/>
  <c r="O33" i="8"/>
  <c r="P33" i="8"/>
  <c r="Q33" i="8"/>
  <c r="D33" i="8"/>
  <c r="E33" i="8"/>
  <c r="F33" i="8"/>
  <c r="G33" i="8"/>
  <c r="H33" i="8"/>
  <c r="I33" i="8"/>
  <c r="T24" i="8"/>
  <c r="U24" i="8"/>
  <c r="V24" i="8"/>
  <c r="W24" i="8"/>
  <c r="X24" i="8"/>
  <c r="Y24" i="8"/>
  <c r="L24" i="8"/>
  <c r="M24" i="8"/>
  <c r="N24" i="8"/>
  <c r="O24" i="8"/>
  <c r="P24" i="8"/>
  <c r="Q24" i="8"/>
  <c r="D24" i="8"/>
  <c r="E24" i="8"/>
  <c r="F24" i="8"/>
  <c r="G24" i="8"/>
  <c r="H24" i="8"/>
  <c r="I24" i="8"/>
  <c r="T15" i="8"/>
  <c r="U15" i="8"/>
  <c r="V15" i="8"/>
  <c r="W15" i="8"/>
  <c r="X15" i="8"/>
  <c r="Y15" i="8"/>
  <c r="L15" i="8"/>
  <c r="M15" i="8"/>
  <c r="N15" i="8"/>
  <c r="O15" i="8"/>
  <c r="P15" i="8"/>
  <c r="Q15" i="8"/>
  <c r="D15" i="8"/>
  <c r="E15" i="8"/>
  <c r="F15" i="8"/>
  <c r="G15" i="8"/>
  <c r="H15" i="8"/>
  <c r="I15" i="8"/>
  <c r="Y6" i="8"/>
  <c r="T6" i="8"/>
  <c r="U6" i="8"/>
  <c r="V6" i="8"/>
  <c r="W6" i="8"/>
  <c r="X6" i="8"/>
  <c r="L6" i="8"/>
  <c r="M6" i="8"/>
  <c r="N6" i="8"/>
  <c r="O6" i="8"/>
  <c r="P6" i="8"/>
  <c r="Q6" i="8"/>
  <c r="D6" i="8"/>
  <c r="E6" i="8"/>
  <c r="F6" i="8"/>
  <c r="G6" i="8"/>
  <c r="H6" i="8"/>
  <c r="I6" i="8"/>
  <c r="S33" i="8"/>
  <c r="K33" i="8"/>
  <c r="C33" i="8"/>
  <c r="S24" i="8"/>
  <c r="K24" i="8"/>
  <c r="C24" i="8"/>
  <c r="S15" i="8"/>
  <c r="K15" i="8"/>
  <c r="C15" i="8"/>
  <c r="S6" i="8"/>
  <c r="K6" i="8"/>
  <c r="C6" i="8"/>
  <c r="H26" i="9" l="1"/>
  <c r="I27" i="9"/>
  <c r="C29" i="9"/>
  <c r="D30" i="9"/>
  <c r="F30" i="9"/>
  <c r="I26" i="9"/>
  <c r="C28" i="9"/>
  <c r="D29" i="9"/>
  <c r="E30" i="9"/>
  <c r="D28" i="9"/>
  <c r="C26" i="9"/>
  <c r="D27" i="9"/>
  <c r="E28" i="9"/>
  <c r="F29" i="9"/>
  <c r="G30" i="9"/>
  <c r="D26" i="9"/>
  <c r="E27" i="9"/>
  <c r="F28" i="9"/>
  <c r="G29" i="9"/>
  <c r="H30" i="9"/>
  <c r="E26" i="9"/>
  <c r="F27" i="9"/>
  <c r="G28" i="9"/>
  <c r="H29" i="9"/>
  <c r="I30" i="9"/>
  <c r="F25" i="9"/>
  <c r="F26" i="9"/>
  <c r="G27" i="9"/>
  <c r="H28" i="9"/>
  <c r="I29" i="9"/>
  <c r="E25" i="9"/>
  <c r="G26" i="9"/>
  <c r="H27" i="9"/>
  <c r="I28" i="9"/>
  <c r="C30" i="9"/>
  <c r="D25" i="9"/>
  <c r="C27" i="9"/>
  <c r="E29" i="9"/>
  <c r="I25" i="9"/>
  <c r="H25" i="9"/>
  <c r="G25" i="9"/>
  <c r="C25" i="9"/>
  <c r="K26" i="9"/>
  <c r="L27" i="9"/>
  <c r="M28" i="9"/>
  <c r="N29" i="9"/>
  <c r="O30" i="9"/>
  <c r="M25" i="9"/>
  <c r="N27" i="9"/>
  <c r="Q30" i="9"/>
  <c r="L26" i="9"/>
  <c r="M27" i="9"/>
  <c r="N28" i="9"/>
  <c r="O29" i="9"/>
  <c r="P30" i="9"/>
  <c r="L25" i="9"/>
  <c r="M26" i="9"/>
  <c r="N26" i="9"/>
  <c r="O27" i="9"/>
  <c r="P28" i="9"/>
  <c r="Q29" i="9"/>
  <c r="O26" i="9"/>
  <c r="P27" i="9"/>
  <c r="Q28" i="9"/>
  <c r="K30" i="9"/>
  <c r="P26" i="9"/>
  <c r="Q27" i="9"/>
  <c r="K29" i="9"/>
  <c r="L30" i="9"/>
  <c r="P25" i="9"/>
  <c r="P29" i="9"/>
  <c r="K25" i="9"/>
  <c r="Q26" i="9"/>
  <c r="K28" i="9"/>
  <c r="L29" i="9"/>
  <c r="M30" i="9"/>
  <c r="O25" i="9"/>
  <c r="K27" i="9"/>
  <c r="L28" i="9"/>
  <c r="M29" i="9"/>
  <c r="N30" i="9"/>
  <c r="N25" i="9"/>
  <c r="O28" i="9"/>
  <c r="Q25" i="9"/>
  <c r="T26" i="9"/>
  <c r="U27" i="9"/>
  <c r="V28" i="9"/>
  <c r="W29" i="9"/>
  <c r="X30" i="9"/>
  <c r="X28" i="9"/>
  <c r="Y29" i="9"/>
  <c r="U26" i="9"/>
  <c r="V27" i="9"/>
  <c r="W28" i="9"/>
  <c r="X29" i="9"/>
  <c r="Y30" i="9"/>
  <c r="S25" i="9"/>
  <c r="W27" i="9"/>
  <c r="W26" i="9"/>
  <c r="X27" i="9"/>
  <c r="Y28" i="9"/>
  <c r="S30" i="9"/>
  <c r="X25" i="9"/>
  <c r="X26" i="9"/>
  <c r="Y27" i="9"/>
  <c r="S29" i="9"/>
  <c r="T30" i="9"/>
  <c r="W25" i="9"/>
  <c r="Y26" i="9"/>
  <c r="S28" i="9"/>
  <c r="T29" i="9"/>
  <c r="U30" i="9"/>
  <c r="V25" i="9"/>
  <c r="S27" i="9"/>
  <c r="T28" i="9"/>
  <c r="U29" i="9"/>
  <c r="V30" i="9"/>
  <c r="U25" i="9"/>
  <c r="S26" i="9"/>
  <c r="T27" i="9"/>
  <c r="U28" i="9"/>
  <c r="V29" i="9"/>
  <c r="W30" i="9"/>
  <c r="T25" i="9"/>
  <c r="V26" i="9"/>
  <c r="Y25" i="9"/>
  <c r="U17" i="9"/>
  <c r="V18" i="9"/>
  <c r="W19" i="9"/>
  <c r="X20" i="9"/>
  <c r="Y21" i="9"/>
  <c r="Y16" i="9"/>
  <c r="X16" i="9"/>
  <c r="V17" i="9"/>
  <c r="W18" i="9"/>
  <c r="X19" i="9"/>
  <c r="Y20" i="9"/>
  <c r="Y19" i="9"/>
  <c r="X17" i="9"/>
  <c r="Y18" i="9"/>
  <c r="S20" i="9"/>
  <c r="T21" i="9"/>
  <c r="Y17" i="9"/>
  <c r="S19" i="9"/>
  <c r="T20" i="9"/>
  <c r="U21" i="9"/>
  <c r="S18" i="9"/>
  <c r="T19" i="9"/>
  <c r="U20" i="9"/>
  <c r="V21" i="9"/>
  <c r="T16" i="9"/>
  <c r="X18" i="9"/>
  <c r="S17" i="9"/>
  <c r="T18" i="9"/>
  <c r="U19" i="9"/>
  <c r="V20" i="9"/>
  <c r="W21" i="9"/>
  <c r="W17" i="9"/>
  <c r="W16" i="9"/>
  <c r="T17" i="9"/>
  <c r="U18" i="9"/>
  <c r="V19" i="9"/>
  <c r="W20" i="9"/>
  <c r="X21" i="9"/>
  <c r="S21" i="9"/>
  <c r="U16" i="9"/>
  <c r="S16" i="9"/>
  <c r="V16" i="9"/>
  <c r="Q8" i="9"/>
  <c r="K10" i="9"/>
  <c r="L11" i="9"/>
  <c r="M12" i="9"/>
  <c r="Q7" i="9"/>
  <c r="P7" i="9"/>
  <c r="N11" i="9"/>
  <c r="O7" i="9"/>
  <c r="N10" i="9"/>
  <c r="K9" i="9"/>
  <c r="L10" i="9"/>
  <c r="M11" i="9"/>
  <c r="N12" i="9"/>
  <c r="L9" i="9"/>
  <c r="M9" i="9"/>
  <c r="P12" i="9"/>
  <c r="M8" i="9"/>
  <c r="N8" i="9"/>
  <c r="O9" i="9"/>
  <c r="P10" i="9"/>
  <c r="Q11" i="9"/>
  <c r="L7" i="9"/>
  <c r="K8" i="9"/>
  <c r="M10" i="9"/>
  <c r="O11" i="9"/>
  <c r="O8" i="9"/>
  <c r="P9" i="9"/>
  <c r="Q10" i="9"/>
  <c r="K12" i="9"/>
  <c r="L8" i="9"/>
  <c r="P8" i="9"/>
  <c r="Q9" i="9"/>
  <c r="K11" i="9"/>
  <c r="L12" i="9"/>
  <c r="O12" i="9"/>
  <c r="N9" i="9"/>
  <c r="M7" i="9"/>
  <c r="O10" i="9"/>
  <c r="N7" i="9"/>
  <c r="P11" i="9"/>
  <c r="Q12" i="9"/>
  <c r="K7" i="9"/>
  <c r="G35" i="9"/>
  <c r="H36" i="9"/>
  <c r="I37" i="9"/>
  <c r="C39" i="9"/>
  <c r="G34" i="9"/>
  <c r="C34" i="9"/>
  <c r="D38" i="9"/>
  <c r="E34" i="9"/>
  <c r="H35" i="9"/>
  <c r="I36" i="9"/>
  <c r="C38" i="9"/>
  <c r="D39" i="9"/>
  <c r="F34" i="9"/>
  <c r="C37" i="9"/>
  <c r="C36" i="9"/>
  <c r="D37" i="9"/>
  <c r="E38" i="9"/>
  <c r="F39" i="9"/>
  <c r="C35" i="9"/>
  <c r="D36" i="9"/>
  <c r="E37" i="9"/>
  <c r="F38" i="9"/>
  <c r="G39" i="9"/>
  <c r="D35" i="9"/>
  <c r="E36" i="9"/>
  <c r="F37" i="9"/>
  <c r="G38" i="9"/>
  <c r="H39" i="9"/>
  <c r="E35" i="9"/>
  <c r="F36" i="9"/>
  <c r="G37" i="9"/>
  <c r="H38" i="9"/>
  <c r="I39" i="9"/>
  <c r="I34" i="9"/>
  <c r="F35" i="9"/>
  <c r="G36" i="9"/>
  <c r="H37" i="9"/>
  <c r="I38" i="9"/>
  <c r="H34" i="9"/>
  <c r="I35" i="9"/>
  <c r="E39" i="9"/>
  <c r="D34" i="9"/>
  <c r="T8" i="9"/>
  <c r="U9" i="9"/>
  <c r="V10" i="9"/>
  <c r="W11" i="9"/>
  <c r="X12" i="9"/>
  <c r="Y11" i="9"/>
  <c r="U8" i="9"/>
  <c r="V9" i="9"/>
  <c r="W10" i="9"/>
  <c r="X11" i="9"/>
  <c r="Y12" i="9"/>
  <c r="Y7" i="9"/>
  <c r="S12" i="9"/>
  <c r="Y10" i="9"/>
  <c r="X8" i="9"/>
  <c r="Y9" i="9"/>
  <c r="S11" i="9"/>
  <c r="T12" i="9"/>
  <c r="Y8" i="9"/>
  <c r="S10" i="9"/>
  <c r="T11" i="9"/>
  <c r="U12" i="9"/>
  <c r="V7" i="9"/>
  <c r="W9" i="9"/>
  <c r="W8" i="9"/>
  <c r="S9" i="9"/>
  <c r="T10" i="9"/>
  <c r="U11" i="9"/>
  <c r="V12" i="9"/>
  <c r="U7" i="9"/>
  <c r="V8" i="9"/>
  <c r="S8" i="9"/>
  <c r="T9" i="9"/>
  <c r="U10" i="9"/>
  <c r="V11" i="9"/>
  <c r="W12" i="9"/>
  <c r="T7" i="9"/>
  <c r="X10" i="9"/>
  <c r="X9" i="9"/>
  <c r="X7" i="9"/>
  <c r="W7" i="9"/>
  <c r="S7" i="9"/>
  <c r="P35" i="9"/>
  <c r="Q36" i="9"/>
  <c r="K38" i="9"/>
  <c r="L39" i="9"/>
  <c r="N34" i="9"/>
  <c r="N39" i="9"/>
  <c r="Q35" i="9"/>
  <c r="K37" i="9"/>
  <c r="L38" i="9"/>
  <c r="M39" i="9"/>
  <c r="O34" i="9"/>
  <c r="L37" i="9"/>
  <c r="K35" i="9"/>
  <c r="L36" i="9"/>
  <c r="M37" i="9"/>
  <c r="N38" i="9"/>
  <c r="O39" i="9"/>
  <c r="Q34" i="9"/>
  <c r="L35" i="9"/>
  <c r="M36" i="9"/>
  <c r="N37" i="9"/>
  <c r="O38" i="9"/>
  <c r="P39" i="9"/>
  <c r="M35" i="9"/>
  <c r="N36" i="9"/>
  <c r="O37" i="9"/>
  <c r="P38" i="9"/>
  <c r="Q39" i="9"/>
  <c r="K36" i="9"/>
  <c r="N35" i="9"/>
  <c r="O36" i="9"/>
  <c r="P37" i="9"/>
  <c r="Q38" i="9"/>
  <c r="L34" i="9"/>
  <c r="P34" i="9"/>
  <c r="O35" i="9"/>
  <c r="P36" i="9"/>
  <c r="Q37" i="9"/>
  <c r="K39" i="9"/>
  <c r="M34" i="9"/>
  <c r="K34" i="9"/>
  <c r="M38" i="9"/>
  <c r="G17" i="9"/>
  <c r="H18" i="9"/>
  <c r="I19" i="9"/>
  <c r="C21" i="9"/>
  <c r="E16" i="9"/>
  <c r="C19" i="9"/>
  <c r="E21" i="9"/>
  <c r="F21" i="9"/>
  <c r="H17" i="9"/>
  <c r="I18" i="9"/>
  <c r="C20" i="9"/>
  <c r="D21" i="9"/>
  <c r="D16" i="9"/>
  <c r="I17" i="9"/>
  <c r="C18" i="9"/>
  <c r="D19" i="9"/>
  <c r="E20" i="9"/>
  <c r="C17" i="9"/>
  <c r="D18" i="9"/>
  <c r="E19" i="9"/>
  <c r="F20" i="9"/>
  <c r="G21" i="9"/>
  <c r="D17" i="9"/>
  <c r="E18" i="9"/>
  <c r="F19" i="9"/>
  <c r="G20" i="9"/>
  <c r="H21" i="9"/>
  <c r="H16" i="9"/>
  <c r="C16" i="9"/>
  <c r="D20" i="9"/>
  <c r="E17" i="9"/>
  <c r="F18" i="9"/>
  <c r="G19" i="9"/>
  <c r="H20" i="9"/>
  <c r="I21" i="9"/>
  <c r="G16" i="9"/>
  <c r="F17" i="9"/>
  <c r="G18" i="9"/>
  <c r="H19" i="9"/>
  <c r="I20" i="9"/>
  <c r="F16" i="9"/>
  <c r="I16" i="9"/>
  <c r="S35" i="9"/>
  <c r="T36" i="9"/>
  <c r="U37" i="9"/>
  <c r="V38" i="9"/>
  <c r="W39" i="9"/>
  <c r="Y34" i="9"/>
  <c r="U35" i="9"/>
  <c r="X38" i="9"/>
  <c r="Y39" i="9"/>
  <c r="T35" i="9"/>
  <c r="U36" i="9"/>
  <c r="V37" i="9"/>
  <c r="W38" i="9"/>
  <c r="X39" i="9"/>
  <c r="X34" i="9"/>
  <c r="W37" i="9"/>
  <c r="V35" i="9"/>
  <c r="W36" i="9"/>
  <c r="X37" i="9"/>
  <c r="Y38" i="9"/>
  <c r="W35" i="9"/>
  <c r="X36" i="9"/>
  <c r="Y37" i="9"/>
  <c r="S39" i="9"/>
  <c r="X35" i="9"/>
  <c r="Y36" i="9"/>
  <c r="S38" i="9"/>
  <c r="T39" i="9"/>
  <c r="T34" i="9"/>
  <c r="S34" i="9"/>
  <c r="W34" i="9"/>
  <c r="V34" i="9"/>
  <c r="Y35" i="9"/>
  <c r="S37" i="9"/>
  <c r="T38" i="9"/>
  <c r="U39" i="9"/>
  <c r="S36" i="9"/>
  <c r="T37" i="9"/>
  <c r="U38" i="9"/>
  <c r="V39" i="9"/>
  <c r="V36" i="9"/>
  <c r="U34" i="9"/>
  <c r="K18" i="9"/>
  <c r="L19" i="9"/>
  <c r="M20" i="9"/>
  <c r="N21" i="9"/>
  <c r="O16" i="9"/>
  <c r="L17" i="9"/>
  <c r="N19" i="9"/>
  <c r="K17" i="9"/>
  <c r="L18" i="9"/>
  <c r="M19" i="9"/>
  <c r="N20" i="9"/>
  <c r="O21" i="9"/>
  <c r="N16" i="9"/>
  <c r="M17" i="9"/>
  <c r="N18" i="9"/>
  <c r="O19" i="9"/>
  <c r="P20" i="9"/>
  <c r="Q21" i="9"/>
  <c r="N17" i="9"/>
  <c r="O18" i="9"/>
  <c r="P19" i="9"/>
  <c r="Q20" i="9"/>
  <c r="O17" i="9"/>
  <c r="P18" i="9"/>
  <c r="Q19" i="9"/>
  <c r="K21" i="9"/>
  <c r="K16" i="9"/>
  <c r="M18" i="9"/>
  <c r="O20" i="9"/>
  <c r="M16" i="9"/>
  <c r="P17" i="9"/>
  <c r="Q18" i="9"/>
  <c r="K20" i="9"/>
  <c r="L21" i="9"/>
  <c r="Q16" i="9"/>
  <c r="Q17" i="9"/>
  <c r="K19" i="9"/>
  <c r="L20" i="9"/>
  <c r="M21" i="9"/>
  <c r="P16" i="9"/>
  <c r="P21" i="9"/>
  <c r="L16" i="9"/>
  <c r="V12" i="8"/>
  <c r="L16" i="8"/>
  <c r="K20" i="8"/>
  <c r="L17" i="8"/>
  <c r="S18" i="8"/>
  <c r="H28" i="8"/>
  <c r="U26" i="8"/>
  <c r="X38" i="8"/>
  <c r="W7" i="8"/>
  <c r="M25" i="8"/>
  <c r="Y34" i="8"/>
  <c r="O20" i="8"/>
  <c r="O17" i="8"/>
  <c r="T18" i="8"/>
  <c r="I28" i="8"/>
  <c r="C26" i="8"/>
  <c r="K28" i="8"/>
  <c r="V27" i="8"/>
  <c r="Y38" i="8"/>
  <c r="O16" i="8"/>
  <c r="Q25" i="8"/>
  <c r="U11" i="8"/>
  <c r="Q19" i="8"/>
  <c r="W21" i="8"/>
  <c r="S17" i="8"/>
  <c r="E28" i="8"/>
  <c r="M30" i="8"/>
  <c r="K27" i="8"/>
  <c r="O39" i="8"/>
  <c r="X37" i="8"/>
  <c r="U16" i="8"/>
  <c r="T25" i="8"/>
  <c r="T10" i="8"/>
  <c r="N19" i="8"/>
  <c r="V21" i="8"/>
  <c r="C25" i="8"/>
  <c r="H27" i="8"/>
  <c r="Q29" i="8"/>
  <c r="Q26" i="8"/>
  <c r="N38" i="8"/>
  <c r="W37" i="8"/>
  <c r="V16" i="8"/>
  <c r="W25" i="8"/>
  <c r="S9" i="8"/>
  <c r="Q18" i="8"/>
  <c r="V20" i="8"/>
  <c r="G30" i="8"/>
  <c r="G27" i="8"/>
  <c r="M29" i="8"/>
  <c r="N26" i="8"/>
  <c r="M37" i="8"/>
  <c r="W36" i="8"/>
  <c r="F25" i="8"/>
  <c r="O34" i="8"/>
  <c r="P21" i="8"/>
  <c r="P18" i="8"/>
  <c r="U20" i="8"/>
  <c r="C30" i="8"/>
  <c r="D27" i="8"/>
  <c r="L29" i="8"/>
  <c r="Y30" i="8"/>
  <c r="L36" i="8"/>
  <c r="V36" i="8"/>
  <c r="P25" i="8"/>
  <c r="K16" i="8"/>
  <c r="G25" i="8"/>
  <c r="U34" i="8"/>
  <c r="L21" i="8"/>
  <c r="M18" i="8"/>
  <c r="U19" i="8"/>
  <c r="I29" i="8"/>
  <c r="G26" i="8"/>
  <c r="P28" i="8"/>
  <c r="X29" i="8"/>
  <c r="K35" i="8"/>
  <c r="V35" i="8"/>
  <c r="N30" i="8"/>
  <c r="O27" i="8"/>
  <c r="S16" i="8"/>
  <c r="H25" i="8"/>
  <c r="X34" i="8"/>
  <c r="K21" i="8"/>
  <c r="P17" i="8"/>
  <c r="T19" i="8"/>
  <c r="F29" i="8"/>
  <c r="F26" i="8"/>
  <c r="L28" i="8"/>
  <c r="W28" i="8"/>
  <c r="Y39" i="8"/>
  <c r="U35" i="8"/>
  <c r="X7" i="8"/>
  <c r="L9" i="8"/>
  <c r="X18" i="8"/>
  <c r="U30" i="8"/>
  <c r="T29" i="8"/>
  <c r="S28" i="8"/>
  <c r="Y26" i="8"/>
  <c r="H39" i="8"/>
  <c r="G38" i="8"/>
  <c r="F37" i="8"/>
  <c r="E36" i="8"/>
  <c r="D35" i="8"/>
  <c r="K39" i="8"/>
  <c r="Q37" i="8"/>
  <c r="P36" i="8"/>
  <c r="O35" i="8"/>
  <c r="V39" i="8"/>
  <c r="U38" i="8"/>
  <c r="T37" i="8"/>
  <c r="S36" i="8"/>
  <c r="M7" i="8"/>
  <c r="K12" i="8"/>
  <c r="O8" i="8"/>
  <c r="U12" i="8"/>
  <c r="Y16" i="8"/>
  <c r="I34" i="8"/>
  <c r="M10" i="8"/>
  <c r="X10" i="8"/>
  <c r="Y19" i="8"/>
  <c r="K7" i="8"/>
  <c r="K34" i="8"/>
  <c r="T7" i="8"/>
  <c r="P16" i="8"/>
  <c r="D25" i="8"/>
  <c r="N25" i="8"/>
  <c r="X25" i="8"/>
  <c r="L34" i="8"/>
  <c r="V34" i="8"/>
  <c r="P7" i="8"/>
  <c r="N12" i="8"/>
  <c r="M11" i="8"/>
  <c r="L10" i="8"/>
  <c r="K9" i="8"/>
  <c r="Y12" i="8"/>
  <c r="X11" i="8"/>
  <c r="W10" i="8"/>
  <c r="V9" i="8"/>
  <c r="U8" i="8"/>
  <c r="O21" i="8"/>
  <c r="N20" i="8"/>
  <c r="M19" i="8"/>
  <c r="L18" i="8"/>
  <c r="K17" i="8"/>
  <c r="Y20" i="8"/>
  <c r="X19" i="8"/>
  <c r="W18" i="8"/>
  <c r="V17" i="8"/>
  <c r="F30" i="8"/>
  <c r="E29" i="8"/>
  <c r="D28" i="8"/>
  <c r="C27" i="8"/>
  <c r="Q30" i="8"/>
  <c r="P29" i="8"/>
  <c r="O28" i="8"/>
  <c r="N27" i="8"/>
  <c r="M26" i="8"/>
  <c r="T30" i="8"/>
  <c r="S29" i="8"/>
  <c r="Y27" i="8"/>
  <c r="X26" i="8"/>
  <c r="G39" i="8"/>
  <c r="F38" i="8"/>
  <c r="E37" i="8"/>
  <c r="D36" i="8"/>
  <c r="C35" i="8"/>
  <c r="Q38" i="8"/>
  <c r="P37" i="8"/>
  <c r="O36" i="8"/>
  <c r="N35" i="8"/>
  <c r="U39" i="8"/>
  <c r="T38" i="8"/>
  <c r="S37" i="8"/>
  <c r="Y35" i="8"/>
  <c r="Q11" i="8"/>
  <c r="O9" i="8"/>
  <c r="S10" i="8"/>
  <c r="N11" i="8"/>
  <c r="Y11" i="8"/>
  <c r="W9" i="8"/>
  <c r="V8" i="8"/>
  <c r="S21" i="8"/>
  <c r="W17" i="8"/>
  <c r="S7" i="8"/>
  <c r="S34" i="8"/>
  <c r="U7" i="8"/>
  <c r="Q16" i="8"/>
  <c r="E25" i="8"/>
  <c r="O25" i="8"/>
  <c r="Y25" i="8"/>
  <c r="M34" i="8"/>
  <c r="W34" i="8"/>
  <c r="O7" i="8"/>
  <c r="M12" i="8"/>
  <c r="L11" i="8"/>
  <c r="K10" i="8"/>
  <c r="Q8" i="8"/>
  <c r="X12" i="8"/>
  <c r="W11" i="8"/>
  <c r="V10" i="8"/>
  <c r="U9" i="8"/>
  <c r="T8" i="8"/>
  <c r="N21" i="8"/>
  <c r="M20" i="8"/>
  <c r="L19" i="8"/>
  <c r="K18" i="8"/>
  <c r="Y21" i="8"/>
  <c r="X20" i="8"/>
  <c r="W19" i="8"/>
  <c r="V18" i="8"/>
  <c r="U17" i="8"/>
  <c r="E30" i="8"/>
  <c r="D29" i="8"/>
  <c r="C28" i="8"/>
  <c r="I26" i="8"/>
  <c r="P30" i="8"/>
  <c r="O29" i="8"/>
  <c r="N28" i="8"/>
  <c r="M27" i="8"/>
  <c r="L26" i="8"/>
  <c r="S30" i="8"/>
  <c r="Y28" i="8"/>
  <c r="X27" i="8"/>
  <c r="W26" i="8"/>
  <c r="F39" i="8"/>
  <c r="E38" i="8"/>
  <c r="D37" i="8"/>
  <c r="C36" i="8"/>
  <c r="Q39" i="8"/>
  <c r="P38" i="8"/>
  <c r="O37" i="8"/>
  <c r="N36" i="8"/>
  <c r="M35" i="8"/>
  <c r="T39" i="8"/>
  <c r="S38" i="8"/>
  <c r="Y36" i="8"/>
  <c r="X35" i="8"/>
  <c r="Q10" i="8"/>
  <c r="C38" i="8"/>
  <c r="C34" i="8"/>
  <c r="Q7" i="8"/>
  <c r="O12" i="8"/>
  <c r="K8" i="8"/>
  <c r="V7" i="8"/>
  <c r="T16" i="8"/>
  <c r="D34" i="8"/>
  <c r="N34" i="8"/>
  <c r="N7" i="8"/>
  <c r="L12" i="8"/>
  <c r="K11" i="8"/>
  <c r="Q9" i="8"/>
  <c r="P8" i="8"/>
  <c r="W12" i="8"/>
  <c r="V11" i="8"/>
  <c r="U10" i="8"/>
  <c r="T9" i="8"/>
  <c r="S8" i="8"/>
  <c r="M21" i="8"/>
  <c r="L20" i="8"/>
  <c r="K19" i="8"/>
  <c r="Q17" i="8"/>
  <c r="X21" i="8"/>
  <c r="W20" i="8"/>
  <c r="V19" i="8"/>
  <c r="U18" i="8"/>
  <c r="T17" i="8"/>
  <c r="D30" i="8"/>
  <c r="C29" i="8"/>
  <c r="I27" i="8"/>
  <c r="H26" i="8"/>
  <c r="O30" i="8"/>
  <c r="N29" i="8"/>
  <c r="M28" i="8"/>
  <c r="L27" i="8"/>
  <c r="K26" i="8"/>
  <c r="Y29" i="8"/>
  <c r="X28" i="8"/>
  <c r="W27" i="8"/>
  <c r="V26" i="8"/>
  <c r="E39" i="8"/>
  <c r="D38" i="8"/>
  <c r="C37" i="8"/>
  <c r="I35" i="8"/>
  <c r="P39" i="8"/>
  <c r="O38" i="8"/>
  <c r="N37" i="8"/>
  <c r="M36" i="8"/>
  <c r="L35" i="8"/>
  <c r="S39" i="8"/>
  <c r="Y37" i="8"/>
  <c r="X36" i="8"/>
  <c r="W35" i="8"/>
  <c r="P34" i="8"/>
  <c r="W29" i="8"/>
  <c r="U27" i="8"/>
  <c r="T26" i="8"/>
  <c r="I37" i="8"/>
  <c r="H36" i="8"/>
  <c r="G35" i="8"/>
  <c r="N39" i="8"/>
  <c r="M38" i="8"/>
  <c r="L37" i="8"/>
  <c r="K36" i="8"/>
  <c r="E34" i="8"/>
  <c r="P9" i="8"/>
  <c r="D39" i="8"/>
  <c r="H35" i="8"/>
  <c r="L7" i="8"/>
  <c r="K25" i="8"/>
  <c r="Y7" i="8"/>
  <c r="M16" i="8"/>
  <c r="W16" i="8"/>
  <c r="I25" i="8"/>
  <c r="U25" i="8"/>
  <c r="G34" i="8"/>
  <c r="Q34" i="8"/>
  <c r="Q12" i="8"/>
  <c r="P11" i="8"/>
  <c r="O10" i="8"/>
  <c r="N9" i="8"/>
  <c r="M8" i="8"/>
  <c r="T12" i="8"/>
  <c r="S11" i="8"/>
  <c r="Y9" i="8"/>
  <c r="X8" i="8"/>
  <c r="Q20" i="8"/>
  <c r="P19" i="8"/>
  <c r="O18" i="8"/>
  <c r="N17" i="8"/>
  <c r="U21" i="8"/>
  <c r="T20" i="8"/>
  <c r="S19" i="8"/>
  <c r="Y17" i="8"/>
  <c r="I30" i="8"/>
  <c r="H29" i="8"/>
  <c r="G28" i="8"/>
  <c r="F27" i="8"/>
  <c r="E26" i="8"/>
  <c r="L30" i="8"/>
  <c r="K29" i="8"/>
  <c r="Q27" i="8"/>
  <c r="P26" i="8"/>
  <c r="W30" i="8"/>
  <c r="V29" i="8"/>
  <c r="U28" i="8"/>
  <c r="T27" i="8"/>
  <c r="S26" i="8"/>
  <c r="I38" i="8"/>
  <c r="H37" i="8"/>
  <c r="G36" i="8"/>
  <c r="F35" i="8"/>
  <c r="M39" i="8"/>
  <c r="L38" i="8"/>
  <c r="K37" i="8"/>
  <c r="Q35" i="8"/>
  <c r="X39" i="8"/>
  <c r="W38" i="8"/>
  <c r="V37" i="8"/>
  <c r="U36" i="8"/>
  <c r="T35" i="8"/>
  <c r="I36" i="8"/>
  <c r="F34" i="8"/>
  <c r="P10" i="8"/>
  <c r="N8" i="8"/>
  <c r="T11" i="8"/>
  <c r="Y8" i="8"/>
  <c r="X30" i="8"/>
  <c r="V28" i="8"/>
  <c r="C39" i="8"/>
  <c r="S25" i="8"/>
  <c r="N16" i="8"/>
  <c r="X16" i="8"/>
  <c r="L25" i="8"/>
  <c r="V25" i="8"/>
  <c r="H34" i="8"/>
  <c r="T34" i="8"/>
  <c r="P12" i="8"/>
  <c r="O11" i="8"/>
  <c r="N10" i="8"/>
  <c r="M9" i="8"/>
  <c r="L8" i="8"/>
  <c r="S12" i="8"/>
  <c r="Y10" i="8"/>
  <c r="X9" i="8"/>
  <c r="W8" i="8"/>
  <c r="Q21" i="8"/>
  <c r="P20" i="8"/>
  <c r="O19" i="8"/>
  <c r="N18" i="8"/>
  <c r="T21" i="8"/>
  <c r="S20" i="8"/>
  <c r="Y18" i="8"/>
  <c r="H30" i="8"/>
  <c r="G29" i="8"/>
  <c r="F28" i="8"/>
  <c r="E27" i="8"/>
  <c r="K30" i="8"/>
  <c r="Q28" i="8"/>
  <c r="P27" i="8"/>
  <c r="V30" i="8"/>
  <c r="U29" i="8"/>
  <c r="T28" i="8"/>
  <c r="I39" i="8"/>
  <c r="H38" i="8"/>
  <c r="G37" i="8"/>
  <c r="F36" i="8"/>
  <c r="L39" i="8"/>
  <c r="K38" i="8"/>
  <c r="Q36" i="8"/>
  <c r="W39" i="8"/>
  <c r="V38" i="8"/>
  <c r="U37" i="8"/>
  <c r="T36" i="8"/>
  <c r="S4" i="7" l="1"/>
  <c r="K4" i="7"/>
  <c r="O7" i="7" l="1"/>
  <c r="M9" i="7"/>
  <c r="P10" i="7"/>
  <c r="K11" i="7"/>
  <c r="N12" i="7"/>
  <c r="P7" i="7"/>
  <c r="K8" i="7"/>
  <c r="N9" i="7"/>
  <c r="Q10" i="7"/>
  <c r="L11" i="7"/>
  <c r="O12" i="7"/>
  <c r="Q7" i="7"/>
  <c r="L8" i="7"/>
  <c r="O9" i="7"/>
  <c r="M11" i="7"/>
  <c r="P12" i="7"/>
  <c r="M8" i="7"/>
  <c r="P9" i="7"/>
  <c r="K10" i="7"/>
  <c r="N11" i="7"/>
  <c r="Q12" i="7"/>
  <c r="K7" i="7"/>
  <c r="N8" i="7"/>
  <c r="Q9" i="7"/>
  <c r="L10" i="7"/>
  <c r="O11" i="7"/>
  <c r="L7" i="7"/>
  <c r="O8" i="7"/>
  <c r="M10" i="7"/>
  <c r="P11" i="7"/>
  <c r="K12" i="7"/>
  <c r="M7" i="7"/>
  <c r="P8" i="7"/>
  <c r="K9" i="7"/>
  <c r="N10" i="7"/>
  <c r="Q11" i="7"/>
  <c r="L12" i="7"/>
  <c r="N7" i="7"/>
  <c r="Q8" i="7"/>
  <c r="L9" i="7"/>
  <c r="O10" i="7"/>
  <c r="M12" i="7"/>
  <c r="X7" i="7"/>
  <c r="S8" i="7"/>
  <c r="V9" i="7"/>
  <c r="Y10" i="7"/>
  <c r="T11" i="7"/>
  <c r="W12" i="7"/>
  <c r="Y7" i="7"/>
  <c r="T8" i="7"/>
  <c r="W9" i="7"/>
  <c r="U11" i="7"/>
  <c r="X12" i="7"/>
  <c r="U8" i="7"/>
  <c r="X9" i="7"/>
  <c r="S10" i="7"/>
  <c r="V11" i="7"/>
  <c r="Y12" i="7"/>
  <c r="S7" i="7"/>
  <c r="V8" i="7"/>
  <c r="Y9" i="7"/>
  <c r="T10" i="7"/>
  <c r="W11" i="7"/>
  <c r="T7" i="7"/>
  <c r="W8" i="7"/>
  <c r="U10" i="7"/>
  <c r="X11" i="7"/>
  <c r="S12" i="7"/>
  <c r="U7" i="7"/>
  <c r="X8" i="7"/>
  <c r="S9" i="7"/>
  <c r="V10" i="7"/>
  <c r="Y11" i="7"/>
  <c r="T12" i="7"/>
  <c r="V7" i="7"/>
  <c r="Y8" i="7"/>
  <c r="T9" i="7"/>
  <c r="W10" i="7"/>
  <c r="U12" i="7"/>
  <c r="W7" i="7"/>
  <c r="U9" i="7"/>
  <c r="X10" i="7"/>
  <c r="S11" i="7"/>
  <c r="V12" i="7"/>
  <c r="C4" i="9"/>
  <c r="C4" i="8"/>
  <c r="C4" i="7"/>
  <c r="C32" i="8" l="1"/>
  <c r="S14" i="8"/>
  <c r="S23" i="8"/>
  <c r="K14" i="8"/>
  <c r="S32" i="8"/>
  <c r="C14" i="8"/>
  <c r="C23" i="8"/>
  <c r="K32" i="8"/>
  <c r="K23" i="8"/>
  <c r="S5" i="8"/>
  <c r="C5" i="8"/>
  <c r="K5" i="8"/>
  <c r="K32" i="9"/>
  <c r="S5" i="9"/>
  <c r="S23" i="9"/>
  <c r="K14" i="9"/>
  <c r="K23" i="9"/>
  <c r="C14" i="9"/>
  <c r="C32" i="9"/>
  <c r="S32" i="9"/>
  <c r="C23" i="9"/>
  <c r="S14" i="9"/>
  <c r="K5" i="9"/>
  <c r="C5" i="9"/>
  <c r="S23" i="7"/>
  <c r="C32" i="7"/>
  <c r="S14" i="7"/>
  <c r="S5" i="7"/>
  <c r="C14" i="7"/>
  <c r="K32" i="7"/>
  <c r="S32" i="7"/>
  <c r="K23" i="7"/>
  <c r="K14" i="7"/>
  <c r="C23" i="7"/>
  <c r="K5" i="7"/>
  <c r="C5" i="7"/>
  <c r="F7" i="7"/>
  <c r="I8" i="7"/>
  <c r="D9" i="7"/>
  <c r="G10" i="7"/>
  <c r="E12" i="7"/>
  <c r="G7" i="7"/>
  <c r="E9" i="7"/>
  <c r="H10" i="7"/>
  <c r="C11" i="7"/>
  <c r="F12" i="7"/>
  <c r="H7" i="7"/>
  <c r="C8" i="7"/>
  <c r="F9" i="7"/>
  <c r="I10" i="7"/>
  <c r="D11" i="7"/>
  <c r="G12" i="7"/>
  <c r="I7" i="7"/>
  <c r="D8" i="7"/>
  <c r="G9" i="7"/>
  <c r="E11" i="7"/>
  <c r="H12" i="7"/>
  <c r="E8" i="7"/>
  <c r="H9" i="7"/>
  <c r="C10" i="7"/>
  <c r="F11" i="7"/>
  <c r="I12" i="7"/>
  <c r="C7" i="7"/>
  <c r="F8" i="7"/>
  <c r="I9" i="7"/>
  <c r="D10" i="7"/>
  <c r="G11" i="7"/>
  <c r="D7" i="7"/>
  <c r="G8" i="7"/>
  <c r="E10" i="7"/>
  <c r="H11" i="7"/>
  <c r="C12" i="7"/>
  <c r="E7" i="7"/>
  <c r="H8" i="7"/>
  <c r="C9" i="7"/>
  <c r="F10" i="7"/>
  <c r="I11" i="7"/>
  <c r="D12" i="7"/>
  <c r="F8" i="9"/>
  <c r="G9" i="9"/>
  <c r="H10" i="9"/>
  <c r="I11" i="9"/>
  <c r="C11" i="9"/>
  <c r="G8" i="9"/>
  <c r="H9" i="9"/>
  <c r="I10" i="9"/>
  <c r="C12" i="9"/>
  <c r="D12" i="9"/>
  <c r="E12" i="9"/>
  <c r="D11" i="9"/>
  <c r="C8" i="9"/>
  <c r="D9" i="9"/>
  <c r="E10" i="9"/>
  <c r="F11" i="9"/>
  <c r="G12" i="9"/>
  <c r="I9" i="9"/>
  <c r="D8" i="9"/>
  <c r="E9" i="9"/>
  <c r="F10" i="9"/>
  <c r="G11" i="9"/>
  <c r="H12" i="9"/>
  <c r="H8" i="9"/>
  <c r="I8" i="9"/>
  <c r="E8" i="9"/>
  <c r="F9" i="9"/>
  <c r="G10" i="9"/>
  <c r="H11" i="9"/>
  <c r="I12" i="9"/>
  <c r="C10" i="9"/>
  <c r="F12" i="9"/>
  <c r="D10" i="9"/>
  <c r="E11" i="9"/>
  <c r="C9" i="9"/>
  <c r="G7" i="9"/>
  <c r="E7" i="9"/>
  <c r="H7" i="9"/>
  <c r="F7" i="9"/>
  <c r="I7" i="9"/>
  <c r="D7" i="9"/>
  <c r="C7" i="9"/>
  <c r="C8" i="8"/>
  <c r="D9" i="8"/>
  <c r="E10" i="8"/>
  <c r="F11" i="8"/>
  <c r="G12" i="8"/>
  <c r="G7" i="8"/>
  <c r="H11" i="8"/>
  <c r="F18" i="8"/>
  <c r="D8" i="8"/>
  <c r="E9" i="8"/>
  <c r="F10" i="8"/>
  <c r="G11" i="8"/>
  <c r="H12" i="8"/>
  <c r="H7" i="8"/>
  <c r="G20" i="8"/>
  <c r="F8" i="8"/>
  <c r="I11" i="8"/>
  <c r="I16" i="8"/>
  <c r="E7" i="8"/>
  <c r="H21" i="8"/>
  <c r="G19" i="8"/>
  <c r="G8" i="8"/>
  <c r="H9" i="8"/>
  <c r="I10" i="8"/>
  <c r="C12" i="8"/>
  <c r="H16" i="8"/>
  <c r="D7" i="8"/>
  <c r="C16" i="8"/>
  <c r="D20" i="8"/>
  <c r="F12" i="8"/>
  <c r="F19" i="8"/>
  <c r="E8" i="8"/>
  <c r="G9" i="8"/>
  <c r="H8" i="8"/>
  <c r="I9" i="8"/>
  <c r="C11" i="8"/>
  <c r="D12" i="8"/>
  <c r="I17" i="8"/>
  <c r="C19" i="8"/>
  <c r="E11" i="8"/>
  <c r="E16" i="8"/>
  <c r="D17" i="8"/>
  <c r="I12" i="8"/>
  <c r="F7" i="8"/>
  <c r="I8" i="8"/>
  <c r="C10" i="8"/>
  <c r="D11" i="8"/>
  <c r="E12" i="8"/>
  <c r="C9" i="8"/>
  <c r="E18" i="8"/>
  <c r="F9" i="8"/>
  <c r="I21" i="8"/>
  <c r="H10" i="8"/>
  <c r="E21" i="8"/>
  <c r="D10" i="8"/>
  <c r="I7" i="8"/>
  <c r="C7" i="8"/>
  <c r="G10" i="8"/>
  <c r="E17" i="8"/>
  <c r="H20" i="8"/>
  <c r="G16" i="8"/>
  <c r="F17" i="8"/>
  <c r="F20" i="8"/>
  <c r="C21" i="8"/>
  <c r="E19" i="8"/>
  <c r="G18" i="8"/>
  <c r="F16" i="8"/>
  <c r="I19" i="8"/>
  <c r="D18" i="8"/>
  <c r="D16" i="8"/>
  <c r="F21" i="8"/>
  <c r="C18" i="8"/>
  <c r="D21" i="8"/>
  <c r="H18" i="8"/>
  <c r="C17" i="8"/>
  <c r="E20" i="8"/>
  <c r="G21" i="8"/>
  <c r="C20" i="8"/>
  <c r="G17" i="8"/>
  <c r="D19" i="8"/>
  <c r="I18" i="8"/>
  <c r="I20" i="8"/>
  <c r="H17" i="8"/>
  <c r="H19" i="8"/>
  <c r="F24" i="2"/>
  <c r="E24" i="2" s="1"/>
  <c r="F17" i="2"/>
  <c r="E17" i="2" s="1"/>
  <c r="C3" i="2"/>
  <c r="Y33" i="1"/>
  <c r="X33" i="1"/>
  <c r="W33" i="1"/>
  <c r="V33" i="1"/>
  <c r="U33" i="1"/>
  <c r="T33" i="1"/>
  <c r="S33" i="1"/>
  <c r="Q33" i="1"/>
  <c r="P33" i="1"/>
  <c r="O33" i="1"/>
  <c r="N33" i="1"/>
  <c r="M33" i="1"/>
  <c r="L33" i="1"/>
  <c r="K33" i="1"/>
  <c r="I33" i="1"/>
  <c r="H33" i="1"/>
  <c r="G33" i="1"/>
  <c r="F33" i="1"/>
  <c r="E33" i="1"/>
  <c r="D33" i="1"/>
  <c r="C33" i="1"/>
  <c r="S31" i="1"/>
  <c r="Y39" i="1" s="1"/>
  <c r="K31" i="1"/>
  <c r="P39" i="1" s="1"/>
  <c r="C31" i="1"/>
  <c r="G39" i="1" s="1"/>
  <c r="Y24" i="1"/>
  <c r="X24" i="1"/>
  <c r="W24" i="1"/>
  <c r="V24" i="1"/>
  <c r="U24" i="1"/>
  <c r="T24" i="1"/>
  <c r="S24" i="1"/>
  <c r="Q24" i="1"/>
  <c r="P24" i="1"/>
  <c r="O24" i="1"/>
  <c r="N24" i="1"/>
  <c r="M24" i="1"/>
  <c r="L24" i="1"/>
  <c r="K24" i="1"/>
  <c r="I24" i="1"/>
  <c r="H24" i="1"/>
  <c r="G24" i="1"/>
  <c r="F24" i="1"/>
  <c r="E24" i="1"/>
  <c r="D24" i="1"/>
  <c r="C24" i="1"/>
  <c r="S22" i="1"/>
  <c r="W29" i="1" s="1"/>
  <c r="K22" i="1"/>
  <c r="Q30" i="1" s="1"/>
  <c r="C22" i="1"/>
  <c r="H30" i="1" s="1"/>
  <c r="Y15" i="1"/>
  <c r="X15" i="1"/>
  <c r="W15" i="1"/>
  <c r="V15" i="1"/>
  <c r="U15" i="1"/>
  <c r="T15" i="1"/>
  <c r="S15" i="1"/>
  <c r="Q15" i="1"/>
  <c r="P15" i="1"/>
  <c r="O15" i="1"/>
  <c r="N15" i="1"/>
  <c r="M15" i="1"/>
  <c r="L15" i="1"/>
  <c r="K15" i="1"/>
  <c r="I15" i="1"/>
  <c r="H15" i="1"/>
  <c r="G15" i="1"/>
  <c r="F15" i="1"/>
  <c r="E15" i="1"/>
  <c r="D15" i="1"/>
  <c r="C15" i="1"/>
  <c r="S13" i="1"/>
  <c r="S21" i="1" s="1"/>
  <c r="K13" i="1"/>
  <c r="O20" i="1" s="1"/>
  <c r="C13" i="1"/>
  <c r="I21" i="1" s="1"/>
  <c r="Y6" i="1"/>
  <c r="X6" i="1"/>
  <c r="W6" i="1"/>
  <c r="V6" i="1"/>
  <c r="U6" i="1"/>
  <c r="T6" i="1"/>
  <c r="S6" i="1"/>
  <c r="Q6" i="1"/>
  <c r="P6" i="1"/>
  <c r="O6" i="1"/>
  <c r="N6" i="1"/>
  <c r="M6" i="1"/>
  <c r="L6" i="1"/>
  <c r="K6" i="1"/>
  <c r="I6" i="1"/>
  <c r="H6" i="1"/>
  <c r="G6" i="1"/>
  <c r="F6" i="1"/>
  <c r="E6" i="1"/>
  <c r="D6" i="1"/>
  <c r="C6" i="1"/>
  <c r="S4" i="1"/>
  <c r="T12" i="1" s="1"/>
  <c r="K4" i="1"/>
  <c r="C4" i="1"/>
  <c r="S32" i="1" l="1"/>
  <c r="C14" i="1"/>
  <c r="K23" i="1"/>
  <c r="K32" i="1"/>
  <c r="S5" i="1"/>
  <c r="C5" i="1"/>
  <c r="C23" i="1"/>
  <c r="C32" i="1"/>
  <c r="K5" i="1"/>
  <c r="S23" i="1"/>
  <c r="S14" i="1"/>
  <c r="K14" i="1"/>
  <c r="K12" i="1"/>
  <c r="G11" i="1"/>
  <c r="F11" i="2"/>
  <c r="E11" i="2" s="1"/>
  <c r="Z17" i="2"/>
  <c r="Y17" i="2" s="1"/>
  <c r="F8" i="2"/>
  <c r="E8" i="2" s="1"/>
  <c r="F12" i="2"/>
  <c r="E12" i="2" s="1"/>
  <c r="U16" i="1"/>
  <c r="V19" i="1"/>
  <c r="H27" i="1"/>
  <c r="C21" i="1"/>
  <c r="C28" i="1"/>
  <c r="S34" i="1"/>
  <c r="H39" i="1"/>
  <c r="N26" i="1"/>
  <c r="T9" i="1"/>
  <c r="V16" i="1"/>
  <c r="W19" i="1"/>
  <c r="U9" i="1"/>
  <c r="Y17" i="1"/>
  <c r="M12" i="1"/>
  <c r="L21" i="1"/>
  <c r="U12" i="1"/>
  <c r="S18" i="1"/>
  <c r="T21" i="1"/>
  <c r="L9" i="1"/>
  <c r="Q27" i="1"/>
  <c r="X10" i="1"/>
  <c r="I18" i="1"/>
  <c r="K21" i="1"/>
  <c r="K18" i="1"/>
  <c r="L28" i="1"/>
  <c r="V12" i="1"/>
  <c r="T18" i="1"/>
  <c r="U21" i="1"/>
  <c r="D35" i="1"/>
  <c r="W7" i="1"/>
  <c r="M16" i="1"/>
  <c r="N19" i="1"/>
  <c r="G36" i="1"/>
  <c r="P8" i="1"/>
  <c r="Q11" i="1"/>
  <c r="V35" i="1"/>
  <c r="H11" i="1"/>
  <c r="H8" i="1"/>
  <c r="F17" i="1"/>
  <c r="G20" i="1"/>
  <c r="Q8" i="1"/>
  <c r="H20" i="1"/>
  <c r="Y8" i="1"/>
  <c r="N10" i="1"/>
  <c r="C12" i="1"/>
  <c r="C16" i="1"/>
  <c r="O17" i="1"/>
  <c r="D19" i="1"/>
  <c r="P20" i="1"/>
  <c r="F29" i="1"/>
  <c r="Y36" i="1"/>
  <c r="I11" i="1"/>
  <c r="D7" i="1"/>
  <c r="E10" i="1"/>
  <c r="G17" i="1"/>
  <c r="M7" i="1"/>
  <c r="N7" i="1"/>
  <c r="C9" i="1"/>
  <c r="O10" i="1"/>
  <c r="D12" i="1"/>
  <c r="D16" i="1"/>
  <c r="P17" i="1"/>
  <c r="E19" i="1"/>
  <c r="Q20" i="1"/>
  <c r="K25" i="1"/>
  <c r="O29" i="1"/>
  <c r="T37" i="1"/>
  <c r="G8" i="1"/>
  <c r="E7" i="1"/>
  <c r="F10" i="1"/>
  <c r="S11" i="1"/>
  <c r="V7" i="1"/>
  <c r="K9" i="1"/>
  <c r="W10" i="1"/>
  <c r="L12" i="1"/>
  <c r="L16" i="1"/>
  <c r="X17" i="1"/>
  <c r="M19" i="1"/>
  <c r="Y20" i="1"/>
  <c r="E26" i="1"/>
  <c r="I30" i="1"/>
  <c r="E38" i="1"/>
  <c r="I34" i="1"/>
  <c r="W38" i="1"/>
  <c r="U28" i="1"/>
  <c r="M35" i="1"/>
  <c r="C25" i="1"/>
  <c r="L25" i="1"/>
  <c r="U25" i="1"/>
  <c r="F26" i="1"/>
  <c r="O26" i="1"/>
  <c r="X26" i="1"/>
  <c r="I27" i="1"/>
  <c r="S27" i="1"/>
  <c r="D28" i="1"/>
  <c r="M28" i="1"/>
  <c r="V28" i="1"/>
  <c r="G29" i="1"/>
  <c r="P29" i="1"/>
  <c r="Y29" i="1"/>
  <c r="K30" i="1"/>
  <c r="T30" i="1"/>
  <c r="K34" i="1"/>
  <c r="T34" i="1"/>
  <c r="E35" i="1"/>
  <c r="N35" i="1"/>
  <c r="W35" i="1"/>
  <c r="H36" i="1"/>
  <c r="Q36" i="1"/>
  <c r="C37" i="1"/>
  <c r="L37" i="1"/>
  <c r="U37" i="1"/>
  <c r="F38" i="1"/>
  <c r="O38" i="1"/>
  <c r="X38" i="1"/>
  <c r="I39" i="1"/>
  <c r="S39" i="1"/>
  <c r="W26" i="1"/>
  <c r="F7" i="1"/>
  <c r="O7" i="1"/>
  <c r="X7" i="1"/>
  <c r="I8" i="1"/>
  <c r="S8" i="1"/>
  <c r="D9" i="1"/>
  <c r="M9" i="1"/>
  <c r="V9" i="1"/>
  <c r="G10" i="1"/>
  <c r="P10" i="1"/>
  <c r="Y10" i="1"/>
  <c r="K11" i="1"/>
  <c r="T11" i="1"/>
  <c r="E12" i="1"/>
  <c r="N12" i="1"/>
  <c r="W12" i="1"/>
  <c r="E16" i="1"/>
  <c r="N16" i="1"/>
  <c r="W16" i="1"/>
  <c r="H17" i="1"/>
  <c r="Q17" i="1"/>
  <c r="C18" i="1"/>
  <c r="L18" i="1"/>
  <c r="U18" i="1"/>
  <c r="F19" i="1"/>
  <c r="O19" i="1"/>
  <c r="X19" i="1"/>
  <c r="I20" i="1"/>
  <c r="S20" i="1"/>
  <c r="D21" i="1"/>
  <c r="M21" i="1"/>
  <c r="V21" i="1"/>
  <c r="D25" i="1"/>
  <c r="M25" i="1"/>
  <c r="V25" i="1"/>
  <c r="G26" i="1"/>
  <c r="P26" i="1"/>
  <c r="Y26" i="1"/>
  <c r="K27" i="1"/>
  <c r="T27" i="1"/>
  <c r="E28" i="1"/>
  <c r="N28" i="1"/>
  <c r="W28" i="1"/>
  <c r="H29" i="1"/>
  <c r="Q29" i="1"/>
  <c r="C30" i="1"/>
  <c r="L30" i="1"/>
  <c r="U30" i="1"/>
  <c r="C34" i="1"/>
  <c r="L34" i="1"/>
  <c r="U34" i="1"/>
  <c r="F35" i="1"/>
  <c r="O35" i="1"/>
  <c r="X35" i="1"/>
  <c r="I36" i="1"/>
  <c r="S36" i="1"/>
  <c r="D37" i="1"/>
  <c r="M37" i="1"/>
  <c r="V37" i="1"/>
  <c r="G38" i="1"/>
  <c r="P38" i="1"/>
  <c r="Y38" i="1"/>
  <c r="K39" i="1"/>
  <c r="T39" i="1"/>
  <c r="X29" i="1"/>
  <c r="P36" i="1"/>
  <c r="K37" i="1"/>
  <c r="N38" i="1"/>
  <c r="G7" i="1"/>
  <c r="P7" i="1"/>
  <c r="Y7" i="1"/>
  <c r="K8" i="1"/>
  <c r="T8" i="1"/>
  <c r="E9" i="1"/>
  <c r="N9" i="1"/>
  <c r="W9" i="1"/>
  <c r="H10" i="1"/>
  <c r="Q10" i="1"/>
  <c r="C11" i="1"/>
  <c r="L11" i="1"/>
  <c r="U11" i="1"/>
  <c r="F12" i="1"/>
  <c r="O12" i="1"/>
  <c r="X12" i="1"/>
  <c r="F16" i="1"/>
  <c r="O16" i="1"/>
  <c r="X16" i="1"/>
  <c r="I17" i="1"/>
  <c r="S17" i="1"/>
  <c r="D18" i="1"/>
  <c r="M18" i="1"/>
  <c r="V18" i="1"/>
  <c r="G19" i="1"/>
  <c r="P19" i="1"/>
  <c r="Y19" i="1"/>
  <c r="K20" i="1"/>
  <c r="T20" i="1"/>
  <c r="E21" i="1"/>
  <c r="N21" i="1"/>
  <c r="W21" i="1"/>
  <c r="E25" i="1"/>
  <c r="N25" i="1"/>
  <c r="W25" i="1"/>
  <c r="H26" i="1"/>
  <c r="Q26" i="1"/>
  <c r="C27" i="1"/>
  <c r="L27" i="1"/>
  <c r="U27" i="1"/>
  <c r="F28" i="1"/>
  <c r="O28" i="1"/>
  <c r="X28" i="1"/>
  <c r="I29" i="1"/>
  <c r="S29" i="1"/>
  <c r="D30" i="1"/>
  <c r="M30" i="1"/>
  <c r="V30" i="1"/>
  <c r="D34" i="1"/>
  <c r="M34" i="1"/>
  <c r="V34" i="1"/>
  <c r="G35" i="1"/>
  <c r="P35" i="1"/>
  <c r="Y35" i="1"/>
  <c r="K36" i="1"/>
  <c r="T36" i="1"/>
  <c r="E37" i="1"/>
  <c r="N37" i="1"/>
  <c r="W37" i="1"/>
  <c r="H38" i="1"/>
  <c r="Q38" i="1"/>
  <c r="C39" i="1"/>
  <c r="L39" i="1"/>
  <c r="U39" i="1"/>
  <c r="H7" i="1"/>
  <c r="Q7" i="1"/>
  <c r="C8" i="1"/>
  <c r="L8" i="1"/>
  <c r="U8" i="1"/>
  <c r="F9" i="1"/>
  <c r="O9" i="1"/>
  <c r="X9" i="1"/>
  <c r="I10" i="1"/>
  <c r="S10" i="1"/>
  <c r="D11" i="1"/>
  <c r="M11" i="1"/>
  <c r="V11" i="1"/>
  <c r="G12" i="1"/>
  <c r="P12" i="1"/>
  <c r="Y12" i="1"/>
  <c r="G16" i="1"/>
  <c r="P16" i="1"/>
  <c r="Y16" i="1"/>
  <c r="K17" i="1"/>
  <c r="T17" i="1"/>
  <c r="E18" i="1"/>
  <c r="N18" i="1"/>
  <c r="W18" i="1"/>
  <c r="H19" i="1"/>
  <c r="Q19" i="1"/>
  <c r="C20" i="1"/>
  <c r="L20" i="1"/>
  <c r="U20" i="1"/>
  <c r="F21" i="1"/>
  <c r="O21" i="1"/>
  <c r="X21" i="1"/>
  <c r="F25" i="1"/>
  <c r="O25" i="1"/>
  <c r="X25" i="1"/>
  <c r="I26" i="1"/>
  <c r="S26" i="1"/>
  <c r="D27" i="1"/>
  <c r="M27" i="1"/>
  <c r="V27" i="1"/>
  <c r="G28" i="1"/>
  <c r="P28" i="1"/>
  <c r="Y28" i="1"/>
  <c r="K29" i="1"/>
  <c r="T29" i="1"/>
  <c r="E30" i="1"/>
  <c r="N30" i="1"/>
  <c r="W30" i="1"/>
  <c r="E34" i="1"/>
  <c r="N34" i="1"/>
  <c r="W34" i="1"/>
  <c r="H35" i="1"/>
  <c r="Q35" i="1"/>
  <c r="C36" i="1"/>
  <c r="L36" i="1"/>
  <c r="U36" i="1"/>
  <c r="F37" i="1"/>
  <c r="O37" i="1"/>
  <c r="X37" i="1"/>
  <c r="I38" i="1"/>
  <c r="S38" i="1"/>
  <c r="D39" i="1"/>
  <c r="M39" i="1"/>
  <c r="V39" i="1"/>
  <c r="I7" i="1"/>
  <c r="S7" i="1"/>
  <c r="D8" i="1"/>
  <c r="M8" i="1"/>
  <c r="V8" i="1"/>
  <c r="G9" i="1"/>
  <c r="P9" i="1"/>
  <c r="Y9" i="1"/>
  <c r="K10" i="1"/>
  <c r="T10" i="1"/>
  <c r="E11" i="1"/>
  <c r="N11" i="1"/>
  <c r="W11" i="1"/>
  <c r="H12" i="1"/>
  <c r="Q12" i="1"/>
  <c r="H16" i="1"/>
  <c r="Q16" i="1"/>
  <c r="C17" i="1"/>
  <c r="L17" i="1"/>
  <c r="U17" i="1"/>
  <c r="F18" i="1"/>
  <c r="O18" i="1"/>
  <c r="X18" i="1"/>
  <c r="I19" i="1"/>
  <c r="S19" i="1"/>
  <c r="D20" i="1"/>
  <c r="M20" i="1"/>
  <c r="V20" i="1"/>
  <c r="G21" i="1"/>
  <c r="P21" i="1"/>
  <c r="Y21" i="1"/>
  <c r="G25" i="1"/>
  <c r="P25" i="1"/>
  <c r="Y25" i="1"/>
  <c r="K26" i="1"/>
  <c r="T26" i="1"/>
  <c r="E27" i="1"/>
  <c r="N27" i="1"/>
  <c r="W27" i="1"/>
  <c r="H28" i="1"/>
  <c r="Q28" i="1"/>
  <c r="C29" i="1"/>
  <c r="L29" i="1"/>
  <c r="U29" i="1"/>
  <c r="F30" i="1"/>
  <c r="O30" i="1"/>
  <c r="X30" i="1"/>
  <c r="F34" i="1"/>
  <c r="O34" i="1"/>
  <c r="X34" i="1"/>
  <c r="I35" i="1"/>
  <c r="S35" i="1"/>
  <c r="D36" i="1"/>
  <c r="M36" i="1"/>
  <c r="V36" i="1"/>
  <c r="G37" i="1"/>
  <c r="P37" i="1"/>
  <c r="Y37" i="1"/>
  <c r="K38" i="1"/>
  <c r="T38" i="1"/>
  <c r="E39" i="1"/>
  <c r="N39" i="1"/>
  <c r="W39" i="1"/>
  <c r="T25" i="1"/>
  <c r="Q39" i="1"/>
  <c r="K7" i="1"/>
  <c r="I3" i="1" s="1"/>
  <c r="D3" i="1" s="1"/>
  <c r="T7" i="1"/>
  <c r="E8" i="1"/>
  <c r="N8" i="1"/>
  <c r="W8" i="1"/>
  <c r="H9" i="1"/>
  <c r="Q9" i="1"/>
  <c r="C10" i="1"/>
  <c r="L10" i="1"/>
  <c r="U10" i="1"/>
  <c r="F11" i="1"/>
  <c r="O11" i="1"/>
  <c r="X11" i="1"/>
  <c r="I12" i="1"/>
  <c r="S12" i="1"/>
  <c r="I16" i="1"/>
  <c r="S16" i="1"/>
  <c r="D17" i="1"/>
  <c r="M17" i="1"/>
  <c r="V17" i="1"/>
  <c r="G18" i="1"/>
  <c r="P18" i="1"/>
  <c r="Y18" i="1"/>
  <c r="K19" i="1"/>
  <c r="T19" i="1"/>
  <c r="E20" i="1"/>
  <c r="N20" i="1"/>
  <c r="W20" i="1"/>
  <c r="H21" i="1"/>
  <c r="Q21" i="1"/>
  <c r="H25" i="1"/>
  <c r="Q25" i="1"/>
  <c r="C26" i="1"/>
  <c r="L26" i="1"/>
  <c r="U26" i="1"/>
  <c r="F27" i="1"/>
  <c r="O27" i="1"/>
  <c r="X27" i="1"/>
  <c r="I28" i="1"/>
  <c r="S28" i="1"/>
  <c r="D29" i="1"/>
  <c r="M29" i="1"/>
  <c r="V29" i="1"/>
  <c r="G30" i="1"/>
  <c r="P30" i="1"/>
  <c r="Y30" i="1"/>
  <c r="G34" i="1"/>
  <c r="P34" i="1"/>
  <c r="Y34" i="1"/>
  <c r="K35" i="1"/>
  <c r="T35" i="1"/>
  <c r="E36" i="1"/>
  <c r="N36" i="1"/>
  <c r="W36" i="1"/>
  <c r="H37" i="1"/>
  <c r="Q37" i="1"/>
  <c r="C38" i="1"/>
  <c r="L38" i="1"/>
  <c r="U38" i="1"/>
  <c r="F39" i="1"/>
  <c r="O39" i="1"/>
  <c r="X39" i="1"/>
  <c r="S30" i="1"/>
  <c r="C7" i="1"/>
  <c r="L7" i="1"/>
  <c r="U7" i="1"/>
  <c r="F8" i="1"/>
  <c r="O8" i="1"/>
  <c r="X8" i="1"/>
  <c r="I9" i="1"/>
  <c r="S9" i="1"/>
  <c r="D10" i="1"/>
  <c r="M10" i="1"/>
  <c r="V10" i="1"/>
  <c r="P11" i="1"/>
  <c r="Y11" i="1"/>
  <c r="K16" i="1"/>
  <c r="T16" i="1"/>
  <c r="E17" i="1"/>
  <c r="N17" i="1"/>
  <c r="W17" i="1"/>
  <c r="H18" i="1"/>
  <c r="Q18" i="1"/>
  <c r="C19" i="1"/>
  <c r="L19" i="1"/>
  <c r="U19" i="1"/>
  <c r="F20" i="1"/>
  <c r="X20" i="1"/>
  <c r="I25" i="1"/>
  <c r="S25" i="1"/>
  <c r="D26" i="1"/>
  <c r="M26" i="1"/>
  <c r="V26" i="1"/>
  <c r="G27" i="1"/>
  <c r="P27" i="1"/>
  <c r="Y27" i="1"/>
  <c r="K28" i="1"/>
  <c r="T28" i="1"/>
  <c r="E29" i="1"/>
  <c r="N29" i="1"/>
  <c r="H34" i="1"/>
  <c r="Q34" i="1"/>
  <c r="C35" i="1"/>
  <c r="L35" i="1"/>
  <c r="U35" i="1"/>
  <c r="F36" i="1"/>
  <c r="O36" i="1"/>
  <c r="X36" i="1"/>
  <c r="I37" i="1"/>
  <c r="S37" i="1"/>
  <c r="D38" i="1"/>
  <c r="M38" i="1"/>
  <c r="V38" i="1"/>
</calcChain>
</file>

<file path=xl/sharedStrings.xml><?xml version="1.0" encoding="utf-8"?>
<sst xmlns="http://schemas.openxmlformats.org/spreadsheetml/2006/main" count="510" uniqueCount="135">
  <si>
    <t>Lundi</t>
  </si>
  <si>
    <t xml:space="preserve"> </t>
  </si>
  <si>
    <t>Année:</t>
  </si>
  <si>
    <t>Luxembourg</t>
  </si>
  <si>
    <t>France</t>
  </si>
  <si>
    <t>Belgique</t>
  </si>
  <si>
    <t>Portugal</t>
  </si>
  <si>
    <t>Allemagne</t>
  </si>
  <si>
    <t xml:space="preserve"> Jour de l'an</t>
  </si>
  <si>
    <t xml:space="preserve"> Ano Novo</t>
  </si>
  <si>
    <t xml:space="preserve"> Lundi de Pâques</t>
  </si>
  <si>
    <t xml:space="preserve"> Terça-feira carnaval</t>
  </si>
  <si>
    <t xml:space="preserve"> Vendredi Saint</t>
  </si>
  <si>
    <t xml:space="preserve"> Fête du travail</t>
  </si>
  <si>
    <t xml:space="preserve"> Sexta-feira Santa</t>
  </si>
  <si>
    <t xml:space="preserve"> Armistice 1945</t>
  </si>
  <si>
    <t xml:space="preserve"> Ascension </t>
  </si>
  <si>
    <t xml:space="preserve"> Dia da Liberdade</t>
  </si>
  <si>
    <t xml:space="preserve"> Lundi de Pentecôte</t>
  </si>
  <si>
    <t xml:space="preserve"> Festa do trabalhador</t>
  </si>
  <si>
    <t xml:space="preserve"> Fête nationale</t>
  </si>
  <si>
    <t xml:space="preserve"> Corpo de Deus</t>
  </si>
  <si>
    <t xml:space="preserve"> Assomption</t>
  </si>
  <si>
    <t xml:space="preserve"> Dia de Portugal</t>
  </si>
  <si>
    <t xml:space="preserve"> Toussaint</t>
  </si>
  <si>
    <t xml:space="preserve"> Assunção</t>
  </si>
  <si>
    <t xml:space="preserve"> Noël</t>
  </si>
  <si>
    <t xml:space="preserve"> Armistice 1918</t>
  </si>
  <si>
    <t xml:space="preserve"> Implant. república</t>
  </si>
  <si>
    <t xml:space="preserve"> Deuxième jour de Noël</t>
  </si>
  <si>
    <t xml:space="preserve"> Todos os santos</t>
  </si>
  <si>
    <t xml:space="preserve"> Rest. Independência</t>
  </si>
  <si>
    <t xml:space="preserve"> Imaculada Conceição</t>
  </si>
  <si>
    <t xml:space="preserve"> Natal</t>
  </si>
  <si>
    <t>Calcul de la date pour le dimanche de Pâques</t>
  </si>
  <si>
    <t xml:space="preserve"> Pâques</t>
  </si>
  <si>
    <t xml:space="preserve"> Pentecôte </t>
  </si>
  <si>
    <t xml:space="preserve"> Explications sur les différentes feuilles de ce classeur:</t>
  </si>
  <si>
    <t xml:space="preserve"> Obs.: cliquez sur les feuilles pour changer de calendrier et cliquez sur les flèches pour changer l'année!</t>
  </si>
  <si>
    <t>Liste des dates pour les divers congés (vacances scolaires) au Luxembourg</t>
  </si>
  <si>
    <t>Noël (2018)</t>
  </si>
  <si>
    <t>Carnaval</t>
  </si>
  <si>
    <t>Pâques</t>
  </si>
  <si>
    <t>Pentecôte</t>
  </si>
  <si>
    <t>Été</t>
  </si>
  <si>
    <t>Toussaint</t>
  </si>
  <si>
    <t>Date début:</t>
  </si>
  <si>
    <t>Date fin:</t>
  </si>
  <si>
    <t>Noël (2019)</t>
  </si>
  <si>
    <t>Noël (2020)</t>
  </si>
  <si>
    <r>
      <rPr>
        <b/>
        <sz val="11"/>
        <color theme="1"/>
        <rFont val="Calibri"/>
        <family val="2"/>
        <scheme val="minor"/>
      </rPr>
      <t xml:space="preserve"> Obs.:</t>
    </r>
    <r>
      <rPr>
        <sz val="11"/>
        <color theme="1"/>
        <rFont val="Calibri"/>
        <family val="2"/>
        <scheme val="minor"/>
      </rPr>
      <t xml:space="preserve"> dans les mises en forme conditionnelles, déplacez la première formule</t>
    </r>
  </si>
  <si>
    <t xml:space="preserve"> (Entre deux dates) vers la position 1 (en bas) - et aussi de même pour les autres</t>
  </si>
  <si>
    <t xml:space="preserve"> dates de vacances (position 2, 3, etc.); ensuite, pour vider les cellules inexistantes</t>
  </si>
  <si>
    <t xml:space="preserve"> des jours du mois; pour terminer, les jours fériés (dernière position).</t>
  </si>
  <si>
    <t xml:space="preserve"> déb_été_2019: nom donné à la cellule. Choisir le mois complet (aussi pour samedi et dimanche)</t>
  </si>
  <si>
    <t xml:space="preserve"> Calendrier</t>
  </si>
  <si>
    <t xml:space="preserve"> Jours Fér. Lu</t>
  </si>
  <si>
    <t xml:space="preserve"> Jours Fér. Be</t>
  </si>
  <si>
    <t xml:space="preserve"> Jours Fér. Fr</t>
  </si>
  <si>
    <t xml:space="preserve"> Jours Fér. All</t>
  </si>
  <si>
    <t>Feuilles</t>
  </si>
  <si>
    <t>Calendrier</t>
  </si>
  <si>
    <t>Jours Fér. Lu</t>
  </si>
  <si>
    <t>JF+VacSc Lu</t>
  </si>
  <si>
    <t>Jours Fér. Fr</t>
  </si>
  <si>
    <t>Jours Fér. All</t>
  </si>
  <si>
    <t>Jours Fér. Pt</t>
  </si>
  <si>
    <t>Jours Fér. Be</t>
  </si>
  <si>
    <t xml:space="preserve"> déplacez la formule vers la fin de la liste et mettre une pour chaque année, (2019, 2020 et 2021),</t>
  </si>
  <si>
    <t xml:space="preserve"> dans les mois respectifs, (Noël - déb_no_1, 2, 3, carnaval - déb_ca_1, 2, 3, etc.)</t>
  </si>
  <si>
    <t xml:space="preserve"> Formules pour mise en forme des jours fériés + vacances scolaires + date du jour (Ex.: été 2019), etc.:</t>
  </si>
  <si>
    <t xml:space="preserve"> Observation: toutes les formules ci-dessous sont pour le Luxembourg</t>
  </si>
  <si>
    <t xml:space="preserve"> mettre la première cellule de chaque mois - dans l'exemple: C7</t>
  </si>
  <si>
    <t xml:space="preserve"> Mettre samedi et dimanche en rouge:</t>
  </si>
  <si>
    <t xml:space="preserve"> première cellule de chaque mois - dans l'exemple C7</t>
  </si>
  <si>
    <t xml:space="preserve"> Format - Couleur motif - 210, 210, 210), Style - ////)</t>
  </si>
  <si>
    <t xml:space="preserve"> Format - (Couleur - rouge 255)</t>
  </si>
  <si>
    <t xml:space="preserve"> Jours fériés de l'année:</t>
  </si>
  <si>
    <t xml:space="preserve"> sélectionner les douze mois</t>
  </si>
  <si>
    <t xml:space="preserve"> Date du jour:</t>
  </si>
  <si>
    <t xml:space="preserve"> Effacer les jours du mois qui sont en trop (Exemple - Janvier):</t>
  </si>
  <si>
    <t xml:space="preserve"> sélectionner la première ligne du mois - dans la zone "S'applique", la référence doit être $C$7:$I$7</t>
  </si>
  <si>
    <t xml:space="preserve"> sélectionner les deux dernières lignes (cinquième et sixième) du mois - idem zone - $C$11:$I$12</t>
  </si>
  <si>
    <t xml:space="preserve"> à faire pour chaque mois - adapter la référence de la cellule</t>
  </si>
  <si>
    <t xml:space="preserve"> Format - Police - Couleur - 172, 185, 202 ou encore plus claire - 214, 220, 228</t>
  </si>
  <si>
    <t xml:space="preserve"> pour laisser les chiffres des jours avec une couleur plus claire:</t>
  </si>
  <si>
    <t xml:space="preserve"> Observation: à faire dans la mise en forme en même temps que la formule</t>
  </si>
  <si>
    <t xml:space="preserve"> = Commun à toutes les formules - Mise en forme, Nouvelle règle, Utiliser une formule... etc.</t>
  </si>
  <si>
    <t xml:space="preserve"> =SI(ET(C7&gt;=déb_été_2019;C7&lt;=fin_été_2019);1;"")</t>
  </si>
  <si>
    <t xml:space="preserve"> =RECHERCHEV(C7;$H$7:$H$12;1;FAUX)  pour le samedi</t>
  </si>
  <si>
    <t xml:space="preserve"> =RECHERCHEV(C7;$I$7:$I$12;1;FAUX)  pour le dimanche</t>
  </si>
  <si>
    <t xml:space="preserve"> =C7=AUJOURDHUI()</t>
  </si>
  <si>
    <t xml:space="preserve"> =JOUR(C7)&gt;7</t>
  </si>
  <si>
    <t xml:space="preserve"> Entre deux dates (dans l'exemple, jours entre la date de début et de la fin des vacances scolaires):</t>
  </si>
  <si>
    <t xml:space="preserve"> =RECHERCHEV(C7;'Jours fériés'!$F$7:$F$17;1;FAUX)</t>
  </si>
  <si>
    <t xml:space="preserve"> =JOUR(C11)&lt;15</t>
  </si>
  <si>
    <t xml:space="preserve"> Format - Nombre - Personnalisé - Type - ;;;</t>
  </si>
  <si>
    <t xml:space="preserve"> Format - Gras - Couleur - bleu 255</t>
  </si>
  <si>
    <t xml:space="preserve"> pour laisser les jours avec une couleur de remplissage sans les chiffres:</t>
  </si>
  <si>
    <t xml:space="preserve"> Format - Remplissage - Autres couleurs - Personnalisées - gris - 246, 246, 246 ou alors,</t>
  </si>
  <si>
    <t xml:space="preserve"> la couleur - blanc, arrière-plan 1, plus sombre 5% (1ère colonne, 2ème couleur - 242, 242, 242)</t>
  </si>
  <si>
    <t xml:space="preserve"> Couleurs:</t>
  </si>
  <si>
    <t xml:space="preserve"> Mois - gris clair, arrière-plan 2, plus sombre 10% (3ème colonne, 2ème couleur - 207, 207, 207)</t>
  </si>
  <si>
    <t xml:space="preserve"> Jours semaine (lu, me, etc.) -  gris clair, arrière-plan 2, (3ème colonne, 1ère couleur - 232, 232, 232)</t>
  </si>
  <si>
    <t xml:space="preserve"> Format - Remplissage - Motifs/textures, Dégradé centre, Couleur 2 - rose saumon - 255, 217, 217</t>
  </si>
  <si>
    <t xml:space="preserve"> Observation:  c'est mieux de mettre en rouge les colonnes samedi et dimanche (groupe Police)</t>
  </si>
  <si>
    <t xml:space="preserve"> Obs.:  changer le nom de la cellule selon l'année ou la période de vacances scolaires (Noël, été, etc.)</t>
  </si>
  <si>
    <t>S</t>
  </si>
  <si>
    <t>T</t>
  </si>
  <si>
    <t>Q</t>
  </si>
  <si>
    <t>D</t>
  </si>
  <si>
    <t xml:space="preserve"> Jour de l'unité Allemande</t>
  </si>
  <si>
    <t xml:space="preserve"> Journée de l'Europe</t>
  </si>
  <si>
    <t>Lu</t>
  </si>
  <si>
    <t>Ma</t>
  </si>
  <si>
    <t>Me</t>
  </si>
  <si>
    <t>Je</t>
  </si>
  <si>
    <t>Ve</t>
  </si>
  <si>
    <t>Sa</t>
  </si>
  <si>
    <t>Di</t>
  </si>
  <si>
    <r>
      <t>Calendriers</t>
    </r>
    <r>
      <rPr>
        <sz val="11"/>
        <color theme="1"/>
        <rFont val="Calibri"/>
        <family val="2"/>
        <scheme val="minor"/>
      </rPr>
      <t xml:space="preserve"> (Observation: les dates pour les fêtes religieuses sont valables jusqu'à l'année 2200)</t>
    </r>
  </si>
  <si>
    <t xml:space="preserve"> Fête de Dieu</t>
  </si>
  <si>
    <t xml:space="preserve"> Jours Fér. Pt</t>
  </si>
  <si>
    <t xml:space="preserve"> Calendrier avec les jours fériés communs à touts les États fédéraux d'Allemagne et aussi, ceux des</t>
  </si>
  <si>
    <t xml:space="preserve"> trois États les plus proches du Luxembourg: Rhénanie-Nord Westfale (Nordhein-Westfalen);</t>
  </si>
  <si>
    <t xml:space="preserve"> Calendrier perpétuel simple, sans jours fériés, de 1900 jusqu'à l'année 3000.</t>
  </si>
  <si>
    <t xml:space="preserve"> Calendrier avec les jours fériés au Luxembourg.</t>
  </si>
  <si>
    <t xml:space="preserve"> Calendrier avec les jours fériés en Belgique.</t>
  </si>
  <si>
    <t xml:space="preserve"> Calendrier avec les jours fériés en France.</t>
  </si>
  <si>
    <t xml:space="preserve"> Rhénanie-Palatinat (Rheinland-Pfalz); Sarre (Saarland).    Observation: pour la Sarre, manque le 15/8).</t>
  </si>
  <si>
    <t xml:space="preserve"> Calendrier avec les jours fériés au Portugal.</t>
  </si>
  <si>
    <t xml:space="preserve"> Calendrier avec les jours fériés et les vacances scolaires (2019, 2020 et 2021) au Luxembourg.</t>
  </si>
  <si>
    <t xml:space="preserve"> J.F. + Vac. Scol. Lux</t>
  </si>
  <si>
    <t>Le tableau ci-dessous c'est pour la feuille du calendrier</t>
  </si>
  <si>
    <r>
      <t xml:space="preserve">des jours fériés </t>
    </r>
    <r>
      <rPr>
        <b/>
        <sz val="12"/>
        <color theme="1"/>
        <rFont val="Calibri"/>
        <family val="2"/>
      </rPr>
      <t>+</t>
    </r>
    <r>
      <rPr>
        <sz val="11"/>
        <color theme="1"/>
        <rFont val="Calibri"/>
        <family val="2"/>
      </rPr>
      <t xml:space="preserve"> les vacances scolaires  - Luxembourg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</si>
</sst>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"/>
    <numFmt numFmtId="165" formatCode="dddd"/>
    <numFmt numFmtId="166" formatCode="dddd\ dd\ mmmm\ yyyy"/>
    <numFmt numFmtId="167" formatCode="d/m/yyyy;@"/>
    <numFmt numFmtId="168" formatCode="[$-816]d\ &quot;de&quot;\ mmmm\ &quot;de&quot;\ yyyy;@"/>
    <numFmt numFmtId="169" formatCode=";;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1"/>
      <color rgb="FFF2F2F2"/>
      <name val="Calibri"/>
      <family val="2"/>
    </font>
    <font>
      <sz val="11"/>
      <color rgb="FF0070C0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FCFC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2D2D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</fills>
  <borders count="1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4" fillId="0" borderId="0"/>
  </cellStyleXfs>
  <cellXfs count="306">
    <xf numFmtId="0" fontId="0" fillId="0" borderId="0" xfId="0"/>
    <xf numFmtId="0" fontId="1" fillId="0" borderId="0" xfId="0" applyFont="1" applyProtection="1"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7" xfId="0" applyFont="1" applyFill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1" fillId="2" borderId="14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19" xfId="0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7" fillId="4" borderId="20" xfId="0" applyFont="1" applyFill="1" applyBorder="1" applyAlignment="1" applyProtection="1">
      <alignment horizontal="center" vertical="center"/>
      <protection hidden="1"/>
    </xf>
    <xf numFmtId="0" fontId="7" fillId="4" borderId="4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7" fillId="4" borderId="19" xfId="0" applyFont="1" applyFill="1" applyBorder="1" applyAlignment="1" applyProtection="1">
      <alignment horizontal="center" vertical="center"/>
      <protection hidden="1"/>
    </xf>
    <xf numFmtId="0" fontId="7" fillId="4" borderId="23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7" fillId="4" borderId="18" xfId="0" applyFont="1" applyFill="1" applyBorder="1" applyAlignment="1" applyProtection="1">
      <alignment horizontal="center" vertical="center"/>
      <protection hidden="1"/>
    </xf>
    <xf numFmtId="0" fontId="7" fillId="4" borderId="25" xfId="0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Protection="1">
      <protection hidden="1"/>
    </xf>
    <xf numFmtId="164" fontId="9" fillId="0" borderId="27" xfId="0" applyNumberFormat="1" applyFont="1" applyBorder="1" applyAlignment="1" applyProtection="1">
      <alignment horizontal="center" vertical="center"/>
      <protection hidden="1"/>
    </xf>
    <xf numFmtId="164" fontId="9" fillId="0" borderId="28" xfId="0" applyNumberFormat="1" applyFont="1" applyBorder="1" applyAlignment="1" applyProtection="1">
      <alignment horizontal="center" vertical="center"/>
      <protection hidden="1"/>
    </xf>
    <xf numFmtId="164" fontId="10" fillId="0" borderId="28" xfId="0" applyNumberFormat="1" applyFont="1" applyBorder="1" applyAlignment="1" applyProtection="1">
      <alignment horizontal="center" vertical="center"/>
      <protection hidden="1"/>
    </xf>
    <xf numFmtId="164" fontId="10" fillId="0" borderId="29" xfId="0" applyNumberFormat="1" applyFont="1" applyBorder="1" applyAlignment="1" applyProtection="1">
      <alignment horizontal="center" vertical="center"/>
      <protection hidden="1"/>
    </xf>
    <xf numFmtId="164" fontId="9" fillId="0" borderId="30" xfId="0" applyNumberFormat="1" applyFont="1" applyBorder="1" applyAlignment="1" applyProtection="1">
      <alignment horizontal="center" vertical="center"/>
      <protection hidden="1"/>
    </xf>
    <xf numFmtId="164" fontId="9" fillId="0" borderId="31" xfId="0" applyNumberFormat="1" applyFont="1" applyBorder="1" applyAlignment="1" applyProtection="1">
      <alignment horizontal="center" vertical="center"/>
      <protection hidden="1"/>
    </xf>
    <xf numFmtId="164" fontId="10" fillId="0" borderId="31" xfId="0" applyNumberFormat="1" applyFont="1" applyBorder="1" applyAlignment="1" applyProtection="1">
      <alignment horizontal="center" vertical="center"/>
      <protection hidden="1"/>
    </xf>
    <xf numFmtId="164" fontId="10" fillId="0" borderId="32" xfId="0" applyNumberFormat="1" applyFont="1" applyBorder="1" applyAlignment="1" applyProtection="1">
      <alignment horizontal="center" vertical="center"/>
      <protection hidden="1"/>
    </xf>
    <xf numFmtId="0" fontId="1" fillId="2" borderId="33" xfId="0" applyFont="1" applyFill="1" applyBorder="1" applyAlignment="1" applyProtection="1">
      <alignment horizontal="center" vertical="center"/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164" fontId="9" fillId="0" borderId="35" xfId="0" applyNumberFormat="1" applyFont="1" applyBorder="1" applyAlignment="1" applyProtection="1">
      <alignment horizontal="center" vertical="center"/>
      <protection hidden="1"/>
    </xf>
    <xf numFmtId="164" fontId="9" fillId="0" borderId="36" xfId="0" applyNumberFormat="1" applyFont="1" applyBorder="1" applyAlignment="1" applyProtection="1">
      <alignment horizontal="center" vertical="center"/>
      <protection hidden="1"/>
    </xf>
    <xf numFmtId="164" fontId="10" fillId="0" borderId="36" xfId="0" applyNumberFormat="1" applyFont="1" applyBorder="1" applyAlignment="1" applyProtection="1">
      <alignment horizontal="center" vertical="center"/>
      <protection hidden="1"/>
    </xf>
    <xf numFmtId="164" fontId="10" fillId="0" borderId="37" xfId="0" applyNumberFormat="1" applyFont="1" applyBorder="1" applyAlignment="1" applyProtection="1">
      <alignment horizontal="center" vertical="center"/>
      <protection hidden="1"/>
    </xf>
    <xf numFmtId="0" fontId="1" fillId="2" borderId="33" xfId="0" applyFont="1" applyFill="1" applyBorder="1" applyProtection="1">
      <protection hidden="1"/>
    </xf>
    <xf numFmtId="0" fontId="5" fillId="2" borderId="33" xfId="0" applyFont="1" applyFill="1" applyBorder="1" applyAlignment="1" applyProtection="1">
      <alignment horizontal="center" vertical="center"/>
      <protection hidden="1"/>
    </xf>
    <xf numFmtId="0" fontId="2" fillId="2" borderId="38" xfId="0" applyFont="1" applyFill="1" applyBorder="1" applyAlignment="1" applyProtection="1">
      <alignment horizontal="center" vertical="center"/>
      <protection hidden="1"/>
    </xf>
    <xf numFmtId="0" fontId="8" fillId="2" borderId="26" xfId="0" applyFont="1" applyFill="1" applyBorder="1" applyAlignment="1" applyProtection="1">
      <alignment horizontal="center" vertical="center"/>
      <protection hidden="1"/>
    </xf>
    <xf numFmtId="0" fontId="6" fillId="4" borderId="39" xfId="0" applyFont="1" applyFill="1" applyBorder="1" applyAlignment="1" applyProtection="1">
      <alignment horizontal="center" vertical="center"/>
      <protection hidden="1"/>
    </xf>
    <xf numFmtId="0" fontId="6" fillId="4" borderId="40" xfId="0" applyFont="1" applyFill="1" applyBorder="1" applyAlignment="1" applyProtection="1">
      <alignment horizontal="center" vertical="center"/>
      <protection hidden="1"/>
    </xf>
    <xf numFmtId="0" fontId="7" fillId="4" borderId="41" xfId="0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8" fillId="2" borderId="22" xfId="0" applyFont="1" applyFill="1" applyBorder="1" applyAlignment="1" applyProtection="1">
      <alignment horizontal="center" vertical="center"/>
      <protection hidden="1"/>
    </xf>
    <xf numFmtId="0" fontId="2" fillId="2" borderId="42" xfId="0" applyFont="1" applyFill="1" applyBorder="1" applyProtection="1"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Protection="1">
      <protection hidden="1"/>
    </xf>
    <xf numFmtId="0" fontId="1" fillId="2" borderId="43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5" fontId="15" fillId="0" borderId="47" xfId="1" applyNumberFormat="1" applyFont="1" applyBorder="1" applyAlignment="1" applyProtection="1">
      <alignment horizontal="center" vertical="center"/>
      <protection hidden="1"/>
    </xf>
    <xf numFmtId="166" fontId="16" fillId="0" borderId="0" xfId="1" applyNumberFormat="1" applyFont="1" applyAlignment="1" applyProtection="1">
      <alignment horizontal="center" vertical="center"/>
      <protection hidden="1"/>
    </xf>
    <xf numFmtId="166" fontId="16" fillId="0" borderId="34" xfId="1" applyNumberFormat="1" applyFont="1" applyBorder="1" applyAlignment="1" applyProtection="1">
      <alignment horizontal="center" vertical="center"/>
      <protection hidden="1"/>
    </xf>
    <xf numFmtId="14" fontId="15" fillId="0" borderId="52" xfId="1" applyNumberFormat="1" applyFont="1" applyBorder="1" applyAlignment="1" applyProtection="1">
      <alignment horizontal="center" vertical="center"/>
      <protection hidden="1"/>
    </xf>
    <xf numFmtId="0" fontId="1" fillId="0" borderId="47" xfId="0" applyFont="1" applyBorder="1" applyProtection="1">
      <protection hidden="1"/>
    </xf>
    <xf numFmtId="0" fontId="18" fillId="0" borderId="53" xfId="1" applyFont="1" applyBorder="1" applyProtection="1">
      <protection hidden="1"/>
    </xf>
    <xf numFmtId="166" fontId="16" fillId="0" borderId="53" xfId="1" applyNumberFormat="1" applyFont="1" applyBorder="1" applyAlignment="1" applyProtection="1">
      <alignment horizontal="center" vertical="center"/>
      <protection hidden="1"/>
    </xf>
    <xf numFmtId="0" fontId="18" fillId="0" borderId="0" xfId="1" applyFont="1" applyProtection="1">
      <protection hidden="1"/>
    </xf>
    <xf numFmtId="14" fontId="1" fillId="0" borderId="0" xfId="0" applyNumberFormat="1" applyFont="1" applyProtection="1"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164" fontId="9" fillId="0" borderId="54" xfId="0" applyNumberFormat="1" applyFont="1" applyBorder="1" applyAlignment="1" applyProtection="1">
      <alignment horizontal="center" vertical="center"/>
      <protection hidden="1"/>
    </xf>
    <xf numFmtId="0" fontId="6" fillId="4" borderId="46" xfId="0" applyFont="1" applyFill="1" applyBorder="1" applyAlignment="1" applyProtection="1">
      <alignment horizontal="center" vertical="center"/>
      <protection hidden="1"/>
    </xf>
    <xf numFmtId="164" fontId="9" fillId="0" borderId="55" xfId="0" applyNumberFormat="1" applyFont="1" applyBorder="1" applyAlignment="1" applyProtection="1">
      <alignment horizontal="center" vertical="center"/>
      <protection hidden="1"/>
    </xf>
    <xf numFmtId="0" fontId="8" fillId="2" borderId="56" xfId="0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164" fontId="9" fillId="0" borderId="58" xfId="0" applyNumberFormat="1" applyFont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164" fontId="9" fillId="0" borderId="59" xfId="0" applyNumberFormat="1" applyFont="1" applyBorder="1" applyAlignment="1" applyProtection="1">
      <alignment horizontal="center" vertical="center"/>
      <protection hidden="1"/>
    </xf>
    <xf numFmtId="164" fontId="9" fillId="0" borderId="60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Alignment="1">
      <alignment vertical="center"/>
    </xf>
    <xf numFmtId="0" fontId="0" fillId="0" borderId="28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5" borderId="67" xfId="0" applyFill="1" applyBorder="1"/>
    <xf numFmtId="0" fontId="0" fillId="0" borderId="46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23" fillId="0" borderId="27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0" fillId="0" borderId="0" xfId="0" applyProtection="1">
      <protection hidden="1"/>
    </xf>
    <xf numFmtId="0" fontId="0" fillId="0" borderId="48" xfId="0" applyBorder="1" applyProtection="1">
      <protection hidden="1"/>
    </xf>
    <xf numFmtId="0" fontId="0" fillId="0" borderId="75" xfId="0" applyBorder="1" applyProtection="1">
      <protection hidden="1"/>
    </xf>
    <xf numFmtId="0" fontId="21" fillId="0" borderId="76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49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right" vertical="center"/>
      <protection hidden="1"/>
    </xf>
    <xf numFmtId="14" fontId="0" fillId="0" borderId="0" xfId="0" applyNumberFormat="1" applyProtection="1">
      <protection hidden="1"/>
    </xf>
    <xf numFmtId="14" fontId="0" fillId="0" borderId="48" xfId="0" applyNumberFormat="1" applyBorder="1" applyProtection="1">
      <protection hidden="1"/>
    </xf>
    <xf numFmtId="0" fontId="0" fillId="0" borderId="77" xfId="0" applyBorder="1" applyProtection="1">
      <protection hidden="1"/>
    </xf>
    <xf numFmtId="14" fontId="0" fillId="0" borderId="68" xfId="0" applyNumberFormat="1" applyBorder="1" applyProtection="1">
      <protection hidden="1"/>
    </xf>
    <xf numFmtId="0" fontId="0" fillId="0" borderId="68" xfId="0" applyBorder="1" applyProtection="1">
      <protection hidden="1"/>
    </xf>
    <xf numFmtId="0" fontId="0" fillId="0" borderId="78" xfId="0" applyBorder="1" applyProtection="1">
      <protection hidden="1"/>
    </xf>
    <xf numFmtId="0" fontId="0" fillId="0" borderId="49" xfId="0" quotePrefix="1" applyBorder="1" applyProtection="1">
      <protection hidden="1"/>
    </xf>
    <xf numFmtId="0" fontId="0" fillId="0" borderId="48" xfId="0" applyBorder="1" applyAlignment="1" applyProtection="1">
      <alignment wrapText="1"/>
      <protection hidden="1"/>
    </xf>
    <xf numFmtId="0" fontId="0" fillId="0" borderId="48" xfId="0" applyBorder="1" applyAlignment="1" applyProtection="1">
      <alignment vertical="center" wrapText="1"/>
      <protection hidden="1"/>
    </xf>
    <xf numFmtId="0" fontId="0" fillId="0" borderId="48" xfId="0" applyBorder="1" applyAlignment="1" applyProtection="1">
      <alignment vertical="top" wrapText="1"/>
      <protection hidden="1"/>
    </xf>
    <xf numFmtId="0" fontId="0" fillId="0" borderId="85" xfId="0" applyBorder="1" applyProtection="1">
      <protection hidden="1"/>
    </xf>
    <xf numFmtId="0" fontId="0" fillId="0" borderId="86" xfId="0" applyBorder="1" applyProtection="1">
      <protection hidden="1"/>
    </xf>
    <xf numFmtId="0" fontId="0" fillId="0" borderId="87" xfId="0" applyBorder="1" applyProtection="1">
      <protection hidden="1"/>
    </xf>
    <xf numFmtId="0" fontId="24" fillId="0" borderId="49" xfId="0" applyFont="1" applyBorder="1" applyProtection="1">
      <protection hidden="1"/>
    </xf>
    <xf numFmtId="0" fontId="7" fillId="4" borderId="46" xfId="0" applyFont="1" applyFill="1" applyBorder="1" applyAlignment="1" applyProtection="1">
      <alignment horizontal="center" vertical="center"/>
      <protection hidden="1"/>
    </xf>
    <xf numFmtId="0" fontId="7" fillId="4" borderId="57" xfId="0" applyFont="1" applyFill="1" applyBorder="1" applyAlignment="1" applyProtection="1">
      <alignment horizontal="center" vertical="center"/>
      <protection hidden="1"/>
    </xf>
    <xf numFmtId="0" fontId="7" fillId="4" borderId="88" xfId="0" applyFont="1" applyFill="1" applyBorder="1" applyAlignment="1" applyProtection="1">
      <alignment horizontal="center" vertical="center"/>
      <protection hidden="1"/>
    </xf>
    <xf numFmtId="164" fontId="10" fillId="0" borderId="58" xfId="0" applyNumberFormat="1" applyFont="1" applyBorder="1" applyAlignment="1" applyProtection="1">
      <alignment horizontal="center" vertical="center"/>
      <protection hidden="1"/>
    </xf>
    <xf numFmtId="164" fontId="10" fillId="0" borderId="62" xfId="0" applyNumberFormat="1" applyFont="1" applyBorder="1" applyAlignment="1" applyProtection="1">
      <alignment horizontal="center" vertical="center"/>
      <protection hidden="1"/>
    </xf>
    <xf numFmtId="164" fontId="10" fillId="0" borderId="60" xfId="0" applyNumberFormat="1" applyFont="1" applyBorder="1" applyAlignment="1" applyProtection="1">
      <alignment horizontal="center" vertical="center"/>
      <protection hidden="1"/>
    </xf>
    <xf numFmtId="164" fontId="10" fillId="0" borderId="61" xfId="0" applyNumberFormat="1" applyFont="1" applyBorder="1" applyAlignment="1" applyProtection="1">
      <alignment horizontal="center" vertical="center"/>
      <protection hidden="1"/>
    </xf>
    <xf numFmtId="167" fontId="1" fillId="0" borderId="0" xfId="0" applyNumberFormat="1" applyFont="1" applyAlignment="1" applyProtection="1">
      <alignment horizontal="center" vertical="center"/>
      <protection hidden="1"/>
    </xf>
    <xf numFmtId="0" fontId="21" fillId="0" borderId="89" xfId="0" applyFont="1" applyBorder="1" applyAlignment="1">
      <alignment horizontal="center" vertical="center"/>
    </xf>
    <xf numFmtId="0" fontId="16" fillId="0" borderId="0" xfId="1" applyFont="1" applyAlignment="1" applyProtection="1">
      <alignment vertical="center"/>
      <protection hidden="1"/>
    </xf>
    <xf numFmtId="0" fontId="1" fillId="0" borderId="53" xfId="0" applyFont="1" applyBorder="1" applyProtection="1"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Protection="1">
      <protection hidden="1"/>
    </xf>
    <xf numFmtId="14" fontId="15" fillId="0" borderId="61" xfId="1" applyNumberFormat="1" applyFont="1" applyBorder="1" applyAlignment="1" applyProtection="1">
      <alignment horizontal="center" vertical="center"/>
      <protection hidden="1"/>
    </xf>
    <xf numFmtId="165" fontId="20" fillId="0" borderId="92" xfId="1" applyNumberFormat="1" applyFont="1" applyBorder="1" applyAlignment="1" applyProtection="1">
      <alignment horizontal="center" vertical="center"/>
      <protection hidden="1"/>
    </xf>
    <xf numFmtId="14" fontId="15" fillId="0" borderId="95" xfId="1" applyNumberFormat="1" applyFont="1" applyBorder="1" applyAlignment="1" applyProtection="1">
      <alignment horizontal="center" vertical="center"/>
      <protection hidden="1"/>
    </xf>
    <xf numFmtId="165" fontId="20" fillId="0" borderId="94" xfId="1" applyNumberFormat="1" applyFont="1" applyBorder="1" applyAlignment="1" applyProtection="1">
      <alignment horizontal="center" vertical="center"/>
      <protection hidden="1"/>
    </xf>
    <xf numFmtId="14" fontId="15" fillId="0" borderId="29" xfId="1" applyNumberFormat="1" applyFont="1" applyBorder="1" applyAlignment="1" applyProtection="1">
      <alignment horizontal="center" vertical="center"/>
      <protection hidden="1"/>
    </xf>
    <xf numFmtId="14" fontId="15" fillId="0" borderId="32" xfId="1" applyNumberFormat="1" applyFont="1" applyBorder="1" applyAlignment="1" applyProtection="1">
      <alignment horizontal="center" vertical="center"/>
      <protection hidden="1"/>
    </xf>
    <xf numFmtId="14" fontId="17" fillId="0" borderId="32" xfId="0" applyNumberFormat="1" applyFont="1" applyBorder="1" applyAlignment="1" applyProtection="1">
      <alignment horizontal="center" vertical="center"/>
      <protection hidden="1"/>
    </xf>
    <xf numFmtId="165" fontId="15" fillId="0" borderId="66" xfId="1" applyNumberFormat="1" applyFont="1" applyBorder="1" applyAlignment="1" applyProtection="1">
      <alignment horizontal="center" vertical="center"/>
      <protection hidden="1"/>
    </xf>
    <xf numFmtId="165" fontId="17" fillId="0" borderId="66" xfId="0" applyNumberFormat="1" applyFont="1" applyBorder="1" applyAlignment="1" applyProtection="1">
      <alignment horizontal="center" vertical="center"/>
      <protection hidden="1"/>
    </xf>
    <xf numFmtId="0" fontId="15" fillId="0" borderId="47" xfId="1" applyFont="1" applyBorder="1" applyAlignment="1" applyProtection="1">
      <alignment horizontal="left" vertical="center"/>
      <protection hidden="1"/>
    </xf>
    <xf numFmtId="14" fontId="15" fillId="0" borderId="47" xfId="1" applyNumberFormat="1" applyFont="1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1" fillId="0" borderId="48" xfId="0" applyFont="1" applyBorder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49" xfId="0" quotePrefix="1" applyBorder="1" applyAlignment="1" applyProtection="1">
      <alignment horizontal="left" vertical="center"/>
      <protection hidden="1"/>
    </xf>
    <xf numFmtId="0" fontId="26" fillId="0" borderId="49" xfId="0" quotePrefix="1" applyFont="1" applyBorder="1" applyAlignment="1" applyProtection="1">
      <alignment horizontal="left" vertical="center"/>
      <protection hidden="1"/>
    </xf>
    <xf numFmtId="0" fontId="27" fillId="0" borderId="0" xfId="0" applyFont="1" applyProtection="1">
      <protection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164" fontId="9" fillId="7" borderId="27" xfId="0" applyNumberFormat="1" applyFont="1" applyFill="1" applyBorder="1" applyAlignment="1" applyProtection="1">
      <alignment horizontal="center" vertical="center"/>
      <protection hidden="1"/>
    </xf>
    <xf numFmtId="169" fontId="1" fillId="2" borderId="0" xfId="0" applyNumberFormat="1" applyFont="1" applyFill="1" applyAlignment="1" applyProtection="1">
      <alignment horizontal="center" vertical="center"/>
      <protection hidden="1"/>
    </xf>
    <xf numFmtId="165" fontId="15" fillId="0" borderId="84" xfId="1" applyNumberFormat="1" applyFont="1" applyBorder="1" applyAlignment="1" applyProtection="1">
      <alignment horizontal="center" vertical="center"/>
      <protection hidden="1"/>
    </xf>
    <xf numFmtId="165" fontId="15" fillId="0" borderId="98" xfId="1" applyNumberFormat="1" applyFont="1" applyBorder="1" applyAlignment="1" applyProtection="1">
      <alignment horizontal="center" vertical="center"/>
      <protection hidden="1"/>
    </xf>
    <xf numFmtId="165" fontId="15" fillId="0" borderId="99" xfId="1" applyNumberFormat="1" applyFont="1" applyBorder="1" applyAlignment="1" applyProtection="1">
      <alignment horizontal="center" vertical="center"/>
      <protection hidden="1"/>
    </xf>
    <xf numFmtId="165" fontId="15" fillId="0" borderId="100" xfId="1" applyNumberFormat="1" applyFont="1" applyBorder="1" applyAlignment="1" applyProtection="1">
      <alignment horizontal="center" vertical="center"/>
      <protection hidden="1"/>
    </xf>
    <xf numFmtId="14" fontId="15" fillId="0" borderId="62" xfId="1" applyNumberFormat="1" applyFont="1" applyBorder="1" applyAlignment="1" applyProtection="1">
      <alignment horizontal="center" vertical="center"/>
      <protection hidden="1"/>
    </xf>
    <xf numFmtId="165" fontId="15" fillId="0" borderId="82" xfId="1" applyNumberFormat="1" applyFont="1" applyBorder="1" applyAlignment="1" applyProtection="1">
      <alignment horizontal="center" vertical="center"/>
      <protection hidden="1"/>
    </xf>
    <xf numFmtId="165" fontId="17" fillId="0" borderId="98" xfId="0" applyNumberFormat="1" applyFont="1" applyBorder="1" applyAlignment="1" applyProtection="1">
      <alignment horizontal="center" vertical="center"/>
      <protection hidden="1"/>
    </xf>
    <xf numFmtId="165" fontId="17" fillId="0" borderId="102" xfId="0" applyNumberFormat="1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1" fillId="0" borderId="34" xfId="0" applyFont="1" applyBorder="1" applyProtection="1">
      <protection hidden="1"/>
    </xf>
    <xf numFmtId="14" fontId="1" fillId="0" borderId="32" xfId="0" applyNumberFormat="1" applyFont="1" applyBorder="1" applyAlignment="1" applyProtection="1">
      <alignment horizontal="center" vertical="center"/>
      <protection hidden="1"/>
    </xf>
    <xf numFmtId="0" fontId="1" fillId="0" borderId="100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4" fillId="0" borderId="48" xfId="0" applyFont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1" fillId="0" borderId="0" xfId="0" applyFont="1" applyBorder="1" applyProtection="1">
      <protection hidden="1"/>
    </xf>
    <xf numFmtId="0" fontId="26" fillId="0" borderId="0" xfId="0" quotePrefix="1" applyFont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horizontal="left" vertical="center"/>
      <protection hidden="1"/>
    </xf>
    <xf numFmtId="14" fontId="0" fillId="0" borderId="0" xfId="0" applyNumberFormat="1" applyBorder="1" applyProtection="1">
      <protection hidden="1"/>
    </xf>
    <xf numFmtId="0" fontId="24" fillId="0" borderId="0" xfId="0" applyFont="1" applyBorder="1" applyProtection="1">
      <protection hidden="1"/>
    </xf>
    <xf numFmtId="0" fontId="0" fillId="0" borderId="0" xfId="0" quotePrefix="1" applyBorder="1" applyProtection="1">
      <protection hidden="1"/>
    </xf>
    <xf numFmtId="0" fontId="0" fillId="0" borderId="0" xfId="0" quotePrefix="1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0" fillId="0" borderId="110" xfId="0" applyBorder="1" applyAlignment="1">
      <alignment horizontal="left" vertical="center"/>
    </xf>
    <xf numFmtId="0" fontId="0" fillId="0" borderId="111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23" fillId="0" borderId="39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5" borderId="112" xfId="0" applyFill="1" applyBorder="1" applyAlignment="1">
      <alignment horizontal="left"/>
    </xf>
    <xf numFmtId="0" fontId="0" fillId="5" borderId="81" xfId="0" applyFill="1" applyBorder="1" applyAlignment="1">
      <alignment horizontal="left"/>
    </xf>
    <xf numFmtId="0" fontId="0" fillId="5" borderId="113" xfId="0" applyFill="1" applyBorder="1" applyAlignment="1">
      <alignment horizontal="left"/>
    </xf>
    <xf numFmtId="0" fontId="21" fillId="0" borderId="89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0" fillId="5" borderId="116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33" xfId="0" applyFill="1" applyBorder="1" applyAlignment="1">
      <alignment horizontal="left" vertical="center"/>
    </xf>
    <xf numFmtId="0" fontId="0" fillId="0" borderId="114" xfId="0" applyBorder="1" applyAlignment="1">
      <alignment horizontal="left" vertical="top"/>
    </xf>
    <xf numFmtId="0" fontId="0" fillId="0" borderId="68" xfId="0" applyBorder="1" applyAlignment="1">
      <alignment horizontal="left" vertical="top"/>
    </xf>
    <xf numFmtId="0" fontId="0" fillId="0" borderId="115" xfId="0" applyBorder="1" applyAlignment="1">
      <alignment horizontal="left" vertical="top"/>
    </xf>
    <xf numFmtId="0" fontId="23" fillId="0" borderId="108" xfId="0" applyFont="1" applyBorder="1" applyAlignment="1">
      <alignment horizontal="center" vertical="center"/>
    </xf>
    <xf numFmtId="0" fontId="23" fillId="0" borderId="109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8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14" fontId="2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2" fillId="2" borderId="13" xfId="0" applyNumberFormat="1" applyFont="1" applyFill="1" applyBorder="1" applyAlignment="1" applyProtection="1">
      <alignment horizontal="center" vertical="center"/>
      <protection hidden="1"/>
    </xf>
    <xf numFmtId="14" fontId="2" fillId="2" borderId="103" xfId="0" applyNumberFormat="1" applyFont="1" applyFill="1" applyBorder="1" applyAlignment="1" applyProtection="1">
      <alignment horizontal="center" vertical="center"/>
      <protection hidden="1"/>
    </xf>
    <xf numFmtId="0" fontId="5" fillId="3" borderId="18" xfId="0" applyFont="1" applyFill="1" applyBorder="1" applyAlignment="1" applyProtection="1">
      <alignment horizontal="center" vertical="center"/>
      <protection hidden="1"/>
    </xf>
    <xf numFmtId="0" fontId="5" fillId="3" borderId="21" xfId="0" applyFont="1" applyFill="1" applyBorder="1" applyAlignment="1" applyProtection="1">
      <alignment horizontal="center" vertical="center"/>
      <protection hidden="1"/>
    </xf>
    <xf numFmtId="0" fontId="5" fillId="3" borderId="104" xfId="0" applyFont="1" applyFill="1" applyBorder="1" applyAlignment="1" applyProtection="1">
      <alignment horizontal="center" vertical="center"/>
      <protection hidden="1"/>
    </xf>
    <xf numFmtId="168" fontId="5" fillId="3" borderId="15" xfId="0" applyNumberFormat="1" applyFont="1" applyFill="1" applyBorder="1" applyAlignment="1" applyProtection="1">
      <alignment horizontal="center" vertical="center"/>
      <protection hidden="1"/>
    </xf>
    <xf numFmtId="168" fontId="5" fillId="3" borderId="16" xfId="0" applyNumberFormat="1" applyFont="1" applyFill="1" applyBorder="1" applyAlignment="1" applyProtection="1">
      <alignment horizontal="center" vertical="center"/>
      <protection hidden="1"/>
    </xf>
    <xf numFmtId="168" fontId="5" fillId="3" borderId="17" xfId="0" applyNumberFormat="1" applyFont="1" applyFill="1" applyBorder="1" applyAlignment="1" applyProtection="1">
      <alignment horizontal="center" vertical="center"/>
      <protection hidden="1"/>
    </xf>
    <xf numFmtId="14" fontId="5" fillId="3" borderId="15" xfId="0" applyNumberFormat="1" applyFont="1" applyFill="1" applyBorder="1" applyAlignment="1" applyProtection="1">
      <alignment horizontal="center" vertical="center"/>
      <protection hidden="1"/>
    </xf>
    <xf numFmtId="14" fontId="5" fillId="3" borderId="16" xfId="0" applyNumberFormat="1" applyFont="1" applyFill="1" applyBorder="1" applyAlignment="1" applyProtection="1">
      <alignment horizontal="center" vertical="center"/>
      <protection hidden="1"/>
    </xf>
    <xf numFmtId="14" fontId="5" fillId="3" borderId="17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5" fillId="0" borderId="106" xfId="1" applyFont="1" applyBorder="1" applyAlignment="1" applyProtection="1">
      <alignment horizontal="left" vertical="center"/>
      <protection hidden="1"/>
    </xf>
    <xf numFmtId="0" fontId="15" fillId="0" borderId="107" xfId="1" applyFont="1" applyBorder="1" applyAlignment="1" applyProtection="1">
      <alignment horizontal="left" vertical="center"/>
      <protection hidden="1"/>
    </xf>
    <xf numFmtId="0" fontId="15" fillId="0" borderId="30" xfId="1" applyFont="1" applyBorder="1" applyAlignment="1" applyProtection="1">
      <alignment horizontal="left" vertical="center"/>
      <protection hidden="1"/>
    </xf>
    <xf numFmtId="0" fontId="15" fillId="0" borderId="97" xfId="1" applyFont="1" applyBorder="1" applyAlignment="1" applyProtection="1">
      <alignment horizontal="left" vertical="center"/>
      <protection hidden="1"/>
    </xf>
    <xf numFmtId="0" fontId="17" fillId="0" borderId="30" xfId="0" applyFont="1" applyBorder="1" applyAlignment="1" applyProtection="1">
      <alignment horizontal="left" vertical="center"/>
      <protection hidden="1"/>
    </xf>
    <xf numFmtId="0" fontId="17" fillId="0" borderId="97" xfId="0" applyFont="1" applyBorder="1" applyAlignment="1" applyProtection="1">
      <alignment horizontal="left" vertical="center"/>
      <protection hidden="1"/>
    </xf>
    <xf numFmtId="0" fontId="1" fillId="0" borderId="105" xfId="0" applyFont="1" applyBorder="1" applyAlignment="1" applyProtection="1">
      <alignment horizontal="left" vertical="center"/>
      <protection hidden="1"/>
    </xf>
    <xf numFmtId="0" fontId="1" fillId="0" borderId="65" xfId="0" applyFont="1" applyBorder="1" applyAlignment="1" applyProtection="1">
      <alignment horizontal="left" vertical="center"/>
      <protection hidden="1"/>
    </xf>
    <xf numFmtId="0" fontId="21" fillId="0" borderId="69" xfId="0" applyFont="1" applyBorder="1" applyAlignment="1" applyProtection="1">
      <alignment horizontal="center" vertical="center"/>
      <protection hidden="1"/>
    </xf>
    <xf numFmtId="0" fontId="21" fillId="0" borderId="70" xfId="0" applyFont="1" applyBorder="1" applyAlignment="1" applyProtection="1">
      <alignment horizontal="center" vertical="center"/>
      <protection hidden="1"/>
    </xf>
    <xf numFmtId="0" fontId="21" fillId="0" borderId="71" xfId="0" applyFont="1" applyBorder="1" applyAlignment="1" applyProtection="1">
      <alignment horizontal="center" vertical="center"/>
      <protection hidden="1"/>
    </xf>
    <xf numFmtId="0" fontId="1" fillId="0" borderId="46" xfId="0" applyFont="1" applyBorder="1" applyAlignment="1" applyProtection="1">
      <alignment horizontal="center" vertical="center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1" fillId="0" borderId="63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1" fillId="0" borderId="44" xfId="0" applyFont="1" applyBorder="1" applyAlignment="1" applyProtection="1">
      <alignment horizontal="center" vertical="center"/>
      <protection hidden="1"/>
    </xf>
    <xf numFmtId="0" fontId="1" fillId="0" borderId="45" xfId="0" applyFont="1" applyBorder="1" applyAlignment="1" applyProtection="1">
      <alignment horizontal="center" vertical="center"/>
      <protection hidden="1"/>
    </xf>
    <xf numFmtId="0" fontId="13" fillId="0" borderId="46" xfId="0" applyFont="1" applyBorder="1" applyAlignment="1" applyProtection="1">
      <alignment horizontal="center" vertical="center"/>
      <protection hidden="1"/>
    </xf>
    <xf numFmtId="0" fontId="13" fillId="0" borderId="47" xfId="0" applyFont="1" applyBorder="1" applyAlignment="1" applyProtection="1">
      <alignment horizontal="center" vertical="center"/>
      <protection hidden="1"/>
    </xf>
    <xf numFmtId="0" fontId="13" fillId="0" borderId="63" xfId="0" applyFont="1" applyBorder="1" applyAlignment="1" applyProtection="1">
      <alignment horizontal="center" vertical="center"/>
      <protection hidden="1"/>
    </xf>
    <xf numFmtId="0" fontId="12" fillId="0" borderId="39" xfId="0" applyFont="1" applyBorder="1" applyAlignment="1" applyProtection="1">
      <alignment horizontal="center" vertical="center"/>
      <protection hidden="1"/>
    </xf>
    <xf numFmtId="0" fontId="12" fillId="0" borderId="44" xfId="0" applyFont="1" applyBorder="1" applyAlignment="1" applyProtection="1">
      <alignment horizontal="center" vertical="center"/>
      <protection hidden="1"/>
    </xf>
    <xf numFmtId="0" fontId="12" fillId="0" borderId="45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 applyProtection="1">
      <alignment horizontal="left" vertical="center"/>
      <protection hidden="1"/>
    </xf>
    <xf numFmtId="0" fontId="15" fillId="0" borderId="97" xfId="0" applyFont="1" applyBorder="1" applyAlignment="1" applyProtection="1">
      <alignment horizontal="left" vertical="center"/>
      <protection hidden="1"/>
    </xf>
    <xf numFmtId="0" fontId="15" fillId="0" borderId="27" xfId="1" applyFont="1" applyBorder="1" applyAlignment="1" applyProtection="1">
      <alignment horizontal="left" vertical="center"/>
      <protection hidden="1"/>
    </xf>
    <xf numFmtId="0" fontId="15" fillId="0" borderId="96" xfId="1" applyFont="1" applyBorder="1" applyAlignment="1" applyProtection="1">
      <alignment horizontal="left" vertical="center"/>
      <protection hidden="1"/>
    </xf>
    <xf numFmtId="0" fontId="15" fillId="0" borderId="55" xfId="1" applyFont="1" applyBorder="1" applyAlignment="1" applyProtection="1">
      <alignment horizontal="left" vertical="center"/>
      <protection hidden="1"/>
    </xf>
    <xf numFmtId="0" fontId="15" fillId="0" borderId="101" xfId="1" applyFont="1" applyBorder="1" applyAlignment="1" applyProtection="1">
      <alignment horizontal="left" vertical="center"/>
      <protection hidden="1"/>
    </xf>
    <xf numFmtId="0" fontId="23" fillId="0" borderId="64" xfId="0" applyFont="1" applyBorder="1" applyAlignment="1" applyProtection="1">
      <alignment horizontal="center" vertical="center"/>
      <protection hidden="1"/>
    </xf>
    <xf numFmtId="0" fontId="23" fillId="0" borderId="65" xfId="0" applyFont="1" applyBorder="1" applyAlignment="1" applyProtection="1">
      <alignment horizontal="center" vertical="center"/>
      <protection hidden="1"/>
    </xf>
    <xf numFmtId="0" fontId="23" fillId="0" borderId="66" xfId="0" applyFont="1" applyBorder="1" applyAlignment="1" applyProtection="1">
      <alignment horizontal="center" vertical="center"/>
      <protection hidden="1"/>
    </xf>
    <xf numFmtId="0" fontId="0" fillId="6" borderId="117" xfId="0" applyFill="1" applyBorder="1" applyAlignment="1" applyProtection="1">
      <alignment horizontal="center" vertical="center"/>
      <protection hidden="1"/>
    </xf>
    <xf numFmtId="0" fontId="0" fillId="6" borderId="118" xfId="0" applyFill="1" applyBorder="1" applyAlignment="1" applyProtection="1">
      <alignment horizontal="center" vertical="center"/>
      <protection hidden="1"/>
    </xf>
    <xf numFmtId="0" fontId="0" fillId="6" borderId="119" xfId="0" applyFill="1" applyBorder="1" applyAlignment="1" applyProtection="1">
      <alignment horizontal="center" vertical="center"/>
      <protection hidden="1"/>
    </xf>
    <xf numFmtId="0" fontId="0" fillId="6" borderId="72" xfId="0" applyFill="1" applyBorder="1" applyAlignment="1" applyProtection="1">
      <alignment horizontal="center" vertical="center"/>
      <protection hidden="1"/>
    </xf>
    <xf numFmtId="0" fontId="0" fillId="6" borderId="73" xfId="0" applyFill="1" applyBorder="1" applyAlignment="1" applyProtection="1">
      <alignment horizontal="center" vertical="center"/>
      <protection hidden="1"/>
    </xf>
    <xf numFmtId="0" fontId="0" fillId="6" borderId="74" xfId="0" applyFill="1" applyBorder="1" applyAlignment="1" applyProtection="1">
      <alignment horizontal="center" vertical="center"/>
      <protection hidden="1"/>
    </xf>
    <xf numFmtId="0" fontId="0" fillId="0" borderId="79" xfId="0" applyBorder="1" applyAlignment="1" applyProtection="1">
      <alignment horizontal="center" vertical="center"/>
      <protection hidden="1"/>
    </xf>
    <xf numFmtId="0" fontId="0" fillId="0" borderId="65" xfId="0" applyBorder="1" applyAlignment="1" applyProtection="1">
      <alignment horizontal="center" vertical="center"/>
      <protection hidden="1"/>
    </xf>
    <xf numFmtId="0" fontId="0" fillId="0" borderId="80" xfId="0" applyBorder="1" applyAlignment="1" applyProtection="1">
      <alignment horizontal="center" vertical="center"/>
      <protection hidden="1"/>
    </xf>
    <xf numFmtId="0" fontId="15" fillId="0" borderId="50" xfId="1" applyFont="1" applyBorder="1" applyAlignment="1" applyProtection="1">
      <alignment horizontal="center" vertical="center"/>
      <protection hidden="1"/>
    </xf>
    <xf numFmtId="0" fontId="15" fillId="0" borderId="51" xfId="1" applyFont="1" applyBorder="1" applyAlignment="1" applyProtection="1">
      <alignment horizontal="center" vertical="center"/>
      <protection hidden="1"/>
    </xf>
    <xf numFmtId="0" fontId="15" fillId="0" borderId="93" xfId="1" applyFont="1" applyBorder="1" applyAlignment="1" applyProtection="1">
      <alignment horizontal="center" vertical="center"/>
      <protection hidden="1"/>
    </xf>
    <xf numFmtId="0" fontId="15" fillId="0" borderId="74" xfId="1" applyFont="1" applyBorder="1" applyAlignment="1" applyProtection="1">
      <alignment horizontal="center" vertical="center"/>
      <protection hidden="1"/>
    </xf>
    <xf numFmtId="0" fontId="15" fillId="0" borderId="50" xfId="1" applyFont="1" applyBorder="1" applyAlignment="1" applyProtection="1">
      <alignment horizontal="left" vertical="center"/>
      <protection hidden="1"/>
    </xf>
    <xf numFmtId="0" fontId="15" fillId="0" borderId="51" xfId="1" applyFont="1" applyBorder="1" applyAlignment="1" applyProtection="1">
      <alignment horizontal="left" vertical="center"/>
      <protection hidden="1"/>
    </xf>
    <xf numFmtId="0" fontId="19" fillId="0" borderId="90" xfId="1" applyFont="1" applyBorder="1" applyAlignment="1" applyProtection="1">
      <alignment horizontal="center" vertical="center"/>
      <protection hidden="1"/>
    </xf>
    <xf numFmtId="0" fontId="19" fillId="0" borderId="86" xfId="1" applyFont="1" applyBorder="1" applyAlignment="1" applyProtection="1">
      <alignment horizontal="center" vertical="center"/>
      <protection hidden="1"/>
    </xf>
    <xf numFmtId="0" fontId="19" fillId="0" borderId="91" xfId="1" applyFont="1" applyBorder="1" applyAlignment="1" applyProtection="1">
      <alignment horizontal="center" vertical="center"/>
      <protection hidden="1"/>
    </xf>
    <xf numFmtId="0" fontId="16" fillId="0" borderId="53" xfId="1" applyFont="1" applyBorder="1" applyAlignment="1" applyProtection="1">
      <alignment horizontal="left" vertical="center"/>
      <protection hidden="1"/>
    </xf>
    <xf numFmtId="0" fontId="0" fillId="5" borderId="77" xfId="0" applyFill="1" applyBorder="1" applyAlignment="1" applyProtection="1">
      <alignment horizontal="left" vertical="top"/>
      <protection hidden="1"/>
    </xf>
    <xf numFmtId="0" fontId="0" fillId="5" borderId="68" xfId="0" applyFill="1" applyBorder="1" applyAlignment="1" applyProtection="1">
      <alignment horizontal="left" vertical="top"/>
      <protection hidden="1"/>
    </xf>
    <xf numFmtId="0" fontId="0" fillId="5" borderId="84" xfId="0" applyFill="1" applyBorder="1" applyAlignment="1" applyProtection="1">
      <alignment horizontal="left" vertical="top"/>
      <protection hidden="1"/>
    </xf>
    <xf numFmtId="0" fontId="0" fillId="6" borderId="79" xfId="0" applyFill="1" applyBorder="1" applyAlignment="1" applyProtection="1">
      <alignment horizontal="center" vertical="center"/>
      <protection hidden="1"/>
    </xf>
    <xf numFmtId="0" fontId="0" fillId="6" borderId="65" xfId="0" applyFill="1" applyBorder="1" applyAlignment="1" applyProtection="1">
      <alignment horizontal="center" vertical="center"/>
      <protection hidden="1"/>
    </xf>
    <xf numFmtId="0" fontId="0" fillId="6" borderId="80" xfId="0" applyFill="1" applyBorder="1" applyAlignment="1" applyProtection="1">
      <alignment horizontal="center" vertical="center"/>
      <protection hidden="1"/>
    </xf>
    <xf numFmtId="0" fontId="24" fillId="0" borderId="49" xfId="0" applyFont="1" applyBorder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4" fillId="0" borderId="48" xfId="0" applyFont="1" applyBorder="1" applyAlignment="1" applyProtection="1">
      <alignment horizontal="left" vertical="center"/>
      <protection hidden="1"/>
    </xf>
    <xf numFmtId="0" fontId="0" fillId="5" borderId="75" xfId="0" applyFill="1" applyBorder="1" applyAlignment="1" applyProtection="1">
      <alignment horizontal="left"/>
      <protection hidden="1"/>
    </xf>
    <xf numFmtId="0" fontId="0" fillId="5" borderId="81" xfId="0" applyFill="1" applyBorder="1" applyAlignment="1" applyProtection="1">
      <alignment horizontal="left"/>
      <protection hidden="1"/>
    </xf>
    <xf numFmtId="0" fontId="0" fillId="5" borderId="82" xfId="0" applyFill="1" applyBorder="1" applyAlignment="1" applyProtection="1">
      <alignment horizontal="left"/>
      <protection hidden="1"/>
    </xf>
    <xf numFmtId="0" fontId="0" fillId="5" borderId="49" xfId="0" applyFill="1" applyBorder="1" applyAlignment="1" applyProtection="1">
      <alignment horizontal="left" vertical="center"/>
      <protection hidden="1"/>
    </xf>
    <xf numFmtId="0" fontId="0" fillId="5" borderId="0" xfId="0" applyFill="1" applyAlignment="1" applyProtection="1">
      <alignment horizontal="left" vertical="center"/>
      <protection hidden="1"/>
    </xf>
    <xf numFmtId="0" fontId="0" fillId="5" borderId="83" xfId="0" applyFill="1" applyBorder="1" applyAlignment="1" applyProtection="1">
      <alignment horizontal="left" vertical="center"/>
      <protection hidden="1"/>
    </xf>
    <xf numFmtId="0" fontId="24" fillId="5" borderId="49" xfId="0" applyFont="1" applyFill="1" applyBorder="1" applyAlignment="1" applyProtection="1">
      <alignment horizontal="left" vertical="center"/>
      <protection hidden="1"/>
    </xf>
    <xf numFmtId="0" fontId="24" fillId="5" borderId="0" xfId="0" applyFont="1" applyFill="1" applyAlignment="1" applyProtection="1">
      <alignment horizontal="left" vertical="center"/>
      <protection hidden="1"/>
    </xf>
    <xf numFmtId="0" fontId="24" fillId="5" borderId="83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_feries" xfId="1" xr:uid="{0957307D-820B-4BDA-8A66-49074CC7EE33}"/>
  </cellStyles>
  <dxfs count="24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patternFill patternType="lightUp">
          <fgColor rgb="FFD2D2D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font>
        <b val="0"/>
        <i val="0"/>
        <color auto="1"/>
      </font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>
          <bgColor theme="0" tint="-4.9989318521683403E-2"/>
        </patternFill>
      </fill>
    </dxf>
    <dxf>
      <numFmt numFmtId="169" formatCode=";;;"/>
      <fill>
        <patternFill patternType="solid">
          <fgColor auto="1"/>
          <bgColor theme="0" tint="-4.9989318521683403E-2"/>
        </patternFill>
      </fill>
    </dxf>
    <dxf>
      <numFmt numFmtId="169" formatCode=";;;"/>
      <fill>
        <patternFill patternType="solid">
          <fgColor auto="1"/>
          <bgColor theme="0" tint="-4.9989318521683403E-2"/>
        </patternFill>
      </fill>
    </dxf>
    <dxf>
      <font>
        <color rgb="FFFFFFFF"/>
      </font>
      <numFmt numFmtId="169" formatCode=";;;"/>
      <fill>
        <patternFill patternType="solid">
          <fgColor auto="1"/>
          <bgColor theme="0" tint="-4.9989318521683403E-2"/>
        </patternFill>
      </fill>
    </dxf>
    <dxf>
      <font>
        <color rgb="FFFFFFFF"/>
      </font>
      <numFmt numFmtId="169" formatCode=";;;"/>
      <fill>
        <patternFill patternType="solid">
          <fgColor auto="1"/>
          <bgColor theme="0" tint="-4.9989318521683403E-2"/>
        </patternFill>
      </fill>
    </dxf>
  </dxfs>
  <tableStyles count="0" defaultTableStyle="TableStyleMedium2" defaultPivotStyle="PivotStyleLight16"/>
  <colors>
    <mruColors>
      <color rgb="FFD2D2D2"/>
      <color rgb="FFFFD9D9"/>
      <color rgb="FFF6F6F6"/>
      <color rgb="FFF2F2F2"/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pin" dx="26" fmlaLink="$K$3" max="3000" min="1901" page="10" val="2019"/>
</file>

<file path=xl/ctrlProps/ctrlProp2.xml><?xml version="1.0" encoding="utf-8"?>
<formControlPr xmlns="http://schemas.microsoft.com/office/spreadsheetml/2009/9/main" objectType="Spin" dx="26" fmlaLink="$K$3" max="3000" min="1901" page="10" val="2019"/>
</file>

<file path=xl/ctrlProps/ctrlProp3.xml><?xml version="1.0" encoding="utf-8"?>
<formControlPr xmlns="http://schemas.microsoft.com/office/spreadsheetml/2009/9/main" objectType="Spin" dx="26" fmlaLink="$K$3" max="3000" min="1901" page="10" val="2019"/>
</file>

<file path=xl/ctrlProps/ctrlProp4.xml><?xml version="1.0" encoding="utf-8"?>
<formControlPr xmlns="http://schemas.microsoft.com/office/spreadsheetml/2009/9/main" objectType="Spin" dx="26" fmlaLink="$K$3" max="3000" min="1901" page="10" val="2019"/>
</file>

<file path=xl/ctrlProps/ctrlProp5.xml><?xml version="1.0" encoding="utf-8"?>
<formControlPr xmlns="http://schemas.microsoft.com/office/spreadsheetml/2009/9/main" objectType="Spin" dx="26" fmlaLink="$K$3" max="3000" min="1901" page="10" val="2019"/>
</file>

<file path=xl/ctrlProps/ctrlProp6.xml><?xml version="1.0" encoding="utf-8"?>
<formControlPr xmlns="http://schemas.microsoft.com/office/spreadsheetml/2009/9/main" objectType="Spin" dx="26" fmlaLink="$K$3" max="3000" min="1901" page="10" val="2019"/>
</file>

<file path=xl/ctrlProps/ctrlProp7.xml><?xml version="1.0" encoding="utf-8"?>
<formControlPr xmlns="http://schemas.microsoft.com/office/spreadsheetml/2009/9/main" objectType="Spin" dx="26" fmlaLink="$K$3" max="3000" min="1901" page="10" val="2019"/>
</file>

<file path=xl/ctrlProps/ctrlProp8.xml><?xml version="1.0" encoding="utf-8"?>
<formControlPr xmlns="http://schemas.microsoft.com/office/spreadsheetml/2009/9/main" objectType="Spin" dx="26" fmlaLink="$K$3" max="3000" min="1901" page="10" val="2019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Spinner 1" descr="Choisissez l'année en cliquant sur les boutons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100-00000104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5" name="Spinner 1" descr="Choisissez l'année en cliquant sur les boutons" hidden="1">
                <a:extLst>
                  <a:ext uri="{63B3BB69-23CF-44E3-9099-C40C66FF867C}">
                    <a14:compatExt spid="_x0000_s6145"/>
                  </a:ext>
                  <a:ext uri="{FF2B5EF4-FFF2-40B4-BE49-F238E27FC236}">
                    <a16:creationId xmlns:a16="http://schemas.microsoft.com/office/drawing/2014/main" id="{00000000-0008-0000-0200-00000118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2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2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6146" name="Spinner 2" descr="Choisissez l'année en cliquant sur les boutons" hidden="1">
                <a:extLst>
                  <a:ext uri="{63B3BB69-23CF-44E3-9099-C40C66FF867C}">
                    <a14:compatExt spid="_x0000_s6146"/>
                  </a:ext>
                  <a:ext uri="{FF2B5EF4-FFF2-40B4-BE49-F238E27FC236}">
                    <a16:creationId xmlns:a16="http://schemas.microsoft.com/office/drawing/2014/main" id="{00000000-0008-0000-0200-00000218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11" name="Group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12" name="ZoneTexte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13" name="Groupe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14" name="Connecteur droit avec flèche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15" name="Connecteur droit avec flèche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Spinner 1" descr="Choisissez l'année en cliquant sur les boutons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300-0000011C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3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3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193" name="Spinner 1" descr="Choisissez l'année en cliquant sur les boutons" hidden="1">
                <a:extLst>
                  <a:ext uri="{63B3BB69-23CF-44E3-9099-C40C66FF867C}">
                    <a14:compatExt spid="_x0000_s8193"/>
                  </a:ext>
                  <a:ext uri="{FF2B5EF4-FFF2-40B4-BE49-F238E27FC236}">
                    <a16:creationId xmlns:a16="http://schemas.microsoft.com/office/drawing/2014/main" id="{00000000-0008-0000-0400-00000120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4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4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Spinner 1" descr="Choisissez l'année en cliquant sur les boutons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500-00000124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5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5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289" name="Spinner 1" descr="Choisissez l'année en cliquant sur les boutons" hidden="1">
                <a:extLst>
                  <a:ext uri="{63B3BB69-23CF-44E3-9099-C40C66FF867C}">
                    <a14:compatExt spid="_x0000_s12289"/>
                  </a:ext>
                  <a:ext uri="{FF2B5EF4-FFF2-40B4-BE49-F238E27FC236}">
                    <a16:creationId xmlns:a16="http://schemas.microsoft.com/office/drawing/2014/main" id="{00000000-0008-0000-0600-00000130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Escolha o ano clicando nos botões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6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6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Spinner 1" descr="Choisissez l'année en cliquant sur les boutons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700-0000012C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Choisissez l'année en cliquant sur les boutons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7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7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7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5354-8B8F-497E-8A92-A6A3AAAA49F5}">
  <dimension ref="B1:J15"/>
  <sheetViews>
    <sheetView tabSelected="1" workbookViewId="0">
      <selection activeCell="D10" sqref="D10:I10"/>
    </sheetView>
  </sheetViews>
  <sheetFormatPr baseColWidth="10" defaultRowHeight="14.55" x14ac:dyDescent="0.3"/>
  <cols>
    <col min="1" max="1" width="2.21875" customWidth="1"/>
    <col min="2" max="2" width="3.33203125" customWidth="1"/>
    <col min="3" max="3" width="17.77734375" customWidth="1"/>
    <col min="4" max="9" width="13.88671875" customWidth="1"/>
  </cols>
  <sheetData>
    <row r="1" spans="2:10" ht="12.1" customHeight="1" thickBot="1" x14ac:dyDescent="0.35"/>
    <row r="2" spans="2:10" ht="24.2" customHeight="1" thickBot="1" x14ac:dyDescent="0.35">
      <c r="B2" s="181" t="s">
        <v>37</v>
      </c>
      <c r="C2" s="182"/>
      <c r="D2" s="182"/>
      <c r="E2" s="182"/>
      <c r="F2" s="182"/>
      <c r="G2" s="182"/>
      <c r="H2" s="182"/>
      <c r="I2" s="183"/>
    </row>
    <row r="3" spans="2:10" ht="4.25" customHeight="1" thickBot="1" x14ac:dyDescent="0.35">
      <c r="B3" s="191"/>
      <c r="C3" s="192"/>
      <c r="D3" s="192"/>
      <c r="E3" s="192"/>
      <c r="F3" s="192"/>
      <c r="G3" s="192"/>
      <c r="H3" s="192"/>
      <c r="I3" s="193"/>
    </row>
    <row r="4" spans="2:10" ht="20.6" customHeight="1" thickBot="1" x14ac:dyDescent="0.35">
      <c r="B4" s="88"/>
      <c r="C4" s="186" t="s">
        <v>38</v>
      </c>
      <c r="D4" s="186"/>
      <c r="E4" s="186"/>
      <c r="F4" s="186"/>
      <c r="G4" s="186"/>
      <c r="H4" s="186"/>
      <c r="I4" s="187"/>
      <c r="J4" s="85"/>
    </row>
    <row r="5" spans="2:10" ht="4.25" customHeight="1" thickBot="1" x14ac:dyDescent="0.35">
      <c r="B5" s="188"/>
      <c r="C5" s="189"/>
      <c r="D5" s="189"/>
      <c r="E5" s="189"/>
      <c r="F5" s="189"/>
      <c r="G5" s="189"/>
      <c r="H5" s="189"/>
      <c r="I5" s="190"/>
    </row>
    <row r="6" spans="2:10" ht="20.6" customHeight="1" thickBot="1" x14ac:dyDescent="0.35">
      <c r="B6" s="89"/>
      <c r="C6" s="125" t="s">
        <v>60</v>
      </c>
      <c r="D6" s="201" t="s">
        <v>120</v>
      </c>
      <c r="E6" s="202"/>
      <c r="F6" s="202"/>
      <c r="G6" s="202"/>
      <c r="H6" s="202"/>
      <c r="I6" s="203"/>
    </row>
    <row r="7" spans="2:10" ht="20.6" customHeight="1" x14ac:dyDescent="0.3">
      <c r="B7" s="91">
        <v>1</v>
      </c>
      <c r="C7" s="86" t="s">
        <v>55</v>
      </c>
      <c r="D7" s="194" t="s">
        <v>125</v>
      </c>
      <c r="E7" s="194"/>
      <c r="F7" s="194"/>
      <c r="G7" s="194"/>
      <c r="H7" s="194"/>
      <c r="I7" s="195"/>
    </row>
    <row r="8" spans="2:10" ht="20.6" customHeight="1" x14ac:dyDescent="0.3">
      <c r="B8" s="92">
        <v>2</v>
      </c>
      <c r="C8" s="87" t="s">
        <v>56</v>
      </c>
      <c r="D8" s="196" t="s">
        <v>126</v>
      </c>
      <c r="E8" s="196"/>
      <c r="F8" s="196"/>
      <c r="G8" s="196"/>
      <c r="H8" s="196"/>
      <c r="I8" s="197"/>
    </row>
    <row r="9" spans="2:10" ht="20.6" customHeight="1" x14ac:dyDescent="0.3">
      <c r="B9" s="92">
        <v>3</v>
      </c>
      <c r="C9" s="87" t="s">
        <v>57</v>
      </c>
      <c r="D9" s="196" t="s">
        <v>127</v>
      </c>
      <c r="E9" s="196"/>
      <c r="F9" s="196"/>
      <c r="G9" s="196"/>
      <c r="H9" s="196"/>
      <c r="I9" s="197"/>
    </row>
    <row r="10" spans="2:10" ht="20.6" customHeight="1" x14ac:dyDescent="0.3">
      <c r="B10" s="92">
        <v>4</v>
      </c>
      <c r="C10" s="87" t="s">
        <v>58</v>
      </c>
      <c r="D10" s="196" t="s">
        <v>128</v>
      </c>
      <c r="E10" s="196"/>
      <c r="F10" s="196"/>
      <c r="G10" s="196"/>
      <c r="H10" s="196"/>
      <c r="I10" s="197"/>
    </row>
    <row r="11" spans="2:10" ht="18.149999999999999" customHeight="1" x14ac:dyDescent="0.3">
      <c r="B11" s="210">
        <v>5</v>
      </c>
      <c r="C11" s="178" t="s">
        <v>59</v>
      </c>
      <c r="D11" s="198" t="s">
        <v>123</v>
      </c>
      <c r="E11" s="199"/>
      <c r="F11" s="199"/>
      <c r="G11" s="199"/>
      <c r="H11" s="199"/>
      <c r="I11" s="200"/>
    </row>
    <row r="12" spans="2:10" ht="20.6" customHeight="1" x14ac:dyDescent="0.3">
      <c r="B12" s="211"/>
      <c r="C12" s="179"/>
      <c r="D12" s="204" t="s">
        <v>124</v>
      </c>
      <c r="E12" s="205"/>
      <c r="F12" s="205"/>
      <c r="G12" s="205"/>
      <c r="H12" s="205"/>
      <c r="I12" s="206"/>
    </row>
    <row r="13" spans="2:10" ht="18.149999999999999" customHeight="1" x14ac:dyDescent="0.3">
      <c r="B13" s="212"/>
      <c r="C13" s="180"/>
      <c r="D13" s="207" t="s">
        <v>129</v>
      </c>
      <c r="E13" s="208"/>
      <c r="F13" s="208"/>
      <c r="G13" s="208"/>
      <c r="H13" s="208"/>
      <c r="I13" s="209"/>
    </row>
    <row r="14" spans="2:10" ht="20.6" customHeight="1" x14ac:dyDescent="0.3">
      <c r="B14" s="92">
        <v>6</v>
      </c>
      <c r="C14" s="87" t="s">
        <v>122</v>
      </c>
      <c r="D14" s="196" t="s">
        <v>130</v>
      </c>
      <c r="E14" s="196"/>
      <c r="F14" s="196"/>
      <c r="G14" s="196"/>
      <c r="H14" s="196"/>
      <c r="I14" s="197"/>
    </row>
    <row r="15" spans="2:10" ht="20.6" customHeight="1" thickBot="1" x14ac:dyDescent="0.35">
      <c r="B15" s="93">
        <v>7</v>
      </c>
      <c r="C15" s="90" t="s">
        <v>132</v>
      </c>
      <c r="D15" s="184" t="s">
        <v>131</v>
      </c>
      <c r="E15" s="184"/>
      <c r="F15" s="184"/>
      <c r="G15" s="184"/>
      <c r="H15" s="184"/>
      <c r="I15" s="185"/>
    </row>
  </sheetData>
  <sheetProtection sheet="1" objects="1" scenarios="1"/>
  <mergeCells count="16">
    <mergeCell ref="C11:C13"/>
    <mergeCell ref="B2:I2"/>
    <mergeCell ref="D15:I15"/>
    <mergeCell ref="C4:I4"/>
    <mergeCell ref="B5:I5"/>
    <mergeCell ref="B3:I3"/>
    <mergeCell ref="D7:I7"/>
    <mergeCell ref="D8:I8"/>
    <mergeCell ref="D9:I9"/>
    <mergeCell ref="D10:I10"/>
    <mergeCell ref="D11:I11"/>
    <mergeCell ref="D14:I14"/>
    <mergeCell ref="D6:I6"/>
    <mergeCell ref="D12:I12"/>
    <mergeCell ref="D13:I13"/>
    <mergeCell ref="B11:B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8A2D7-2729-46C9-AAAB-F81CB0F2BD00}">
  <sheetPr>
    <tabColor theme="9" tint="0.59999389629810485"/>
  </sheetPr>
  <dimension ref="A2:AE107"/>
  <sheetViews>
    <sheetView topLeftCell="A9" workbookViewId="0">
      <selection activeCell="K58" sqref="K58"/>
    </sheetView>
  </sheetViews>
  <sheetFormatPr baseColWidth="10" defaultRowHeight="14.55" x14ac:dyDescent="0.3"/>
  <cols>
    <col min="1" max="1" width="2.6640625" style="1" customWidth="1"/>
    <col min="2" max="3" width="11.5546875" style="1"/>
    <col min="4" max="7" width="11.5546875" style="1" customWidth="1"/>
    <col min="8" max="8" width="11.5546875" style="1"/>
    <col min="9" max="9" width="6.6640625" style="1" customWidth="1"/>
    <col min="10" max="10" width="11.44140625" style="1" customWidth="1"/>
    <col min="11" max="11" width="12" style="1" customWidth="1"/>
    <col min="12" max="12" width="2.6640625" style="1" customWidth="1"/>
    <col min="13" max="13" width="11.5546875" style="1"/>
    <col min="14" max="14" width="6.6640625" style="1" customWidth="1"/>
    <col min="15" max="15" width="11.44140625" style="1" customWidth="1"/>
    <col min="16" max="16" width="12" style="1" customWidth="1"/>
    <col min="17" max="17" width="2.6640625" style="1" customWidth="1"/>
    <col min="18" max="18" width="11.5546875" style="1"/>
    <col min="19" max="19" width="8.88671875" style="1" customWidth="1"/>
    <col min="20" max="20" width="11.44140625" style="1" customWidth="1"/>
    <col min="21" max="21" width="12" style="1" customWidth="1"/>
    <col min="22" max="22" width="2.6640625" style="1" customWidth="1"/>
    <col min="23" max="26" width="11.109375" style="1" customWidth="1"/>
    <col min="27" max="27" width="2.6640625" style="1" customWidth="1"/>
    <col min="28" max="16384" width="11.5546875" style="1"/>
  </cols>
  <sheetData>
    <row r="2" spans="2:31" x14ac:dyDescent="0.3">
      <c r="C2" s="20" t="s">
        <v>61</v>
      </c>
      <c r="D2" s="20" t="s">
        <v>62</v>
      </c>
      <c r="E2" s="20" t="s">
        <v>67</v>
      </c>
      <c r="F2" s="20" t="s">
        <v>64</v>
      </c>
      <c r="G2" s="20" t="s">
        <v>65</v>
      </c>
      <c r="H2" s="20" t="s">
        <v>66</v>
      </c>
      <c r="I2" s="20"/>
      <c r="J2" s="20" t="s">
        <v>63</v>
      </c>
      <c r="S2" s="20" t="s">
        <v>61</v>
      </c>
      <c r="T2" s="20" t="s">
        <v>62</v>
      </c>
      <c r="U2" s="20" t="s">
        <v>67</v>
      </c>
      <c r="W2" s="20" t="s">
        <v>64</v>
      </c>
      <c r="X2" s="20" t="s">
        <v>65</v>
      </c>
      <c r="Y2" s="20" t="s">
        <v>66</v>
      </c>
      <c r="Z2" s="20" t="s">
        <v>63</v>
      </c>
      <c r="AB2" s="236" t="s">
        <v>133</v>
      </c>
      <c r="AC2" s="236"/>
      <c r="AD2" s="236"/>
      <c r="AE2" s="236"/>
    </row>
    <row r="3" spans="2:31" ht="15.75" x14ac:dyDescent="0.3">
      <c r="B3" s="62" t="s">
        <v>2</v>
      </c>
      <c r="C3" s="64">
        <f>Anopri</f>
        <v>2019</v>
      </c>
      <c r="D3" s="128">
        <f>Anolu</f>
        <v>2019</v>
      </c>
      <c r="E3" s="128">
        <f>Anobe</f>
        <v>2019</v>
      </c>
      <c r="F3" s="128">
        <f>Anofr</f>
        <v>2019</v>
      </c>
      <c r="G3" s="128">
        <f>Anoall</f>
        <v>2019</v>
      </c>
      <c r="H3" s="128">
        <f>Anopt</f>
        <v>2019</v>
      </c>
      <c r="I3" s="128"/>
      <c r="J3" s="128">
        <f>Anovaclu</f>
        <v>2019</v>
      </c>
      <c r="R3" s="62" t="s">
        <v>2</v>
      </c>
      <c r="S3" s="64">
        <f>Anopri</f>
        <v>2019</v>
      </c>
      <c r="T3" s="128">
        <f>Anolu</f>
        <v>2019</v>
      </c>
      <c r="U3" s="128">
        <f>Anobe</f>
        <v>2019</v>
      </c>
      <c r="V3" s="129"/>
      <c r="W3" s="128">
        <f>Anofr</f>
        <v>2019</v>
      </c>
      <c r="X3" s="128">
        <f>Anoall</f>
        <v>2019</v>
      </c>
      <c r="Y3" s="128">
        <f>Anopt</f>
        <v>2019</v>
      </c>
      <c r="Z3" s="128">
        <f>Anovaclu</f>
        <v>2019</v>
      </c>
      <c r="AB3" s="236" t="s">
        <v>134</v>
      </c>
      <c r="AC3" s="236"/>
      <c r="AD3" s="236"/>
      <c r="AE3" s="236"/>
    </row>
    <row r="4" spans="2:31" ht="16.350000000000001" thickBot="1" x14ac:dyDescent="0.35">
      <c r="B4" s="62"/>
      <c r="C4" s="63"/>
    </row>
    <row r="5" spans="2:31" ht="19.399999999999999" customHeight="1" thickBot="1" x14ac:dyDescent="0.35">
      <c r="B5" s="62"/>
      <c r="C5" s="257" t="s">
        <v>3</v>
      </c>
      <c r="D5" s="258"/>
      <c r="E5" s="258"/>
      <c r="F5" s="259"/>
      <c r="H5" s="257" t="s">
        <v>4</v>
      </c>
      <c r="I5" s="258"/>
      <c r="J5" s="258"/>
      <c r="K5" s="259"/>
      <c r="M5" s="257" t="s">
        <v>5</v>
      </c>
      <c r="N5" s="258"/>
      <c r="O5" s="258"/>
      <c r="P5" s="259"/>
      <c r="R5" s="257" t="s">
        <v>6</v>
      </c>
      <c r="S5" s="258"/>
      <c r="T5" s="258"/>
      <c r="U5" s="259"/>
      <c r="W5" s="257" t="s">
        <v>7</v>
      </c>
      <c r="X5" s="258"/>
      <c r="Y5" s="258"/>
      <c r="Z5" s="259"/>
      <c r="AB5" s="257" t="s">
        <v>3</v>
      </c>
      <c r="AC5" s="258"/>
      <c r="AD5" s="258"/>
      <c r="AE5" s="259"/>
    </row>
    <row r="6" spans="2:31" ht="4.25" customHeight="1" thickBot="1" x14ac:dyDescent="0.35">
      <c r="C6" s="248"/>
      <c r="D6" s="249"/>
      <c r="E6" s="249"/>
      <c r="F6" s="250"/>
      <c r="H6" s="248"/>
      <c r="I6" s="249"/>
      <c r="J6" s="249"/>
      <c r="K6" s="250"/>
      <c r="M6" s="251"/>
      <c r="N6" s="252"/>
      <c r="O6" s="252"/>
      <c r="P6" s="253"/>
      <c r="R6" s="248"/>
      <c r="S6" s="249"/>
      <c r="T6" s="249"/>
      <c r="U6" s="250"/>
      <c r="W6" s="254"/>
      <c r="X6" s="255"/>
      <c r="Y6" s="255"/>
      <c r="Z6" s="256"/>
      <c r="AB6" s="248"/>
      <c r="AC6" s="249"/>
      <c r="AD6" s="249"/>
      <c r="AE6" s="250"/>
    </row>
    <row r="7" spans="2:31" ht="15.75" customHeight="1" x14ac:dyDescent="0.3">
      <c r="C7" s="262" t="s">
        <v>8</v>
      </c>
      <c r="D7" s="263"/>
      <c r="E7" s="151" t="str">
        <f>CHOOSE(WEEKDAY(F7,2),"lundi","mardi","mercredi","jeudi","vendredi","samedi","dimanche")</f>
        <v>mardi</v>
      </c>
      <c r="F7" s="134">
        <f>DATE(Anolu,1,1)</f>
        <v>43466</v>
      </c>
      <c r="G7" s="66"/>
      <c r="H7" s="262" t="s">
        <v>8</v>
      </c>
      <c r="I7" s="263"/>
      <c r="J7" s="151" t="str">
        <f>CHOOSE(WEEKDAY(K7,2),"lundi","mardi","mercredi","jeudi","vendredi","samedi","dimanche")</f>
        <v>mardi</v>
      </c>
      <c r="K7" s="134">
        <f>DATE(Anofr,1,1)</f>
        <v>43466</v>
      </c>
      <c r="M7" s="264" t="s">
        <v>8</v>
      </c>
      <c r="N7" s="265"/>
      <c r="O7" s="150" t="str">
        <f>CHOOSE(WEEKDAY(P7,2),"lundi","mardi","mercredi","jeudi","vendredi","samedi","dimanche")</f>
        <v>mardi</v>
      </c>
      <c r="P7" s="154">
        <f>DATE(Anobe,1,1)</f>
        <v>43466</v>
      </c>
      <c r="R7" s="262" t="s">
        <v>9</v>
      </c>
      <c r="S7" s="263"/>
      <c r="T7" s="156" t="str">
        <f>CHOOSE(WEEKDAY(U7,2),"lundi","mardi","mercredi","jeudi","vendredi","samedi","dimanche")</f>
        <v>mardi</v>
      </c>
      <c r="U7" s="134">
        <f>DATE(Anopt,1,1)</f>
        <v>43466</v>
      </c>
      <c r="W7" s="262" t="s">
        <v>8</v>
      </c>
      <c r="X7" s="263"/>
      <c r="Y7" s="156" t="str">
        <f>CHOOSE(WEEKDAY(Z7,2),"lundi","mardi","mercredi","jeudi","vendredi","samedi","dimanche")</f>
        <v>mardi</v>
      </c>
      <c r="Z7" s="134">
        <f>DATE(Anoall,1,1)</f>
        <v>43466</v>
      </c>
      <c r="AB7" s="262" t="s">
        <v>8</v>
      </c>
      <c r="AC7" s="263"/>
      <c r="AD7" s="151" t="str">
        <f>CHOOSE(WEEKDAY(AE7,2),"lundi","mardi","mercredi","jeudi","vendredi","samedi","dimanche")</f>
        <v>mardi</v>
      </c>
      <c r="AE7" s="134">
        <f>DATE(Anovaclu,1,1)</f>
        <v>43466</v>
      </c>
    </row>
    <row r="8" spans="2:31" ht="15.75" customHeight="1" x14ac:dyDescent="0.3">
      <c r="C8" s="239" t="s">
        <v>10</v>
      </c>
      <c r="D8" s="240"/>
      <c r="E8" s="153" t="str">
        <f t="shared" ref="E8:E17" si="0">CHOOSE(WEEKDAY(F8,2),"lundi","mardi","mercredi","jeudi","vendredi","samedi","dimanche")</f>
        <v>lundi</v>
      </c>
      <c r="F8" s="135">
        <f>F23+1</f>
        <v>43577</v>
      </c>
      <c r="G8" s="66"/>
      <c r="H8" s="239" t="s">
        <v>10</v>
      </c>
      <c r="I8" s="240"/>
      <c r="J8" s="137" t="str">
        <f>CHOOSE(WEEKDAY(K8,2),"lundi","mardi","mercredi","jeudi","vendredi","samedi","dimanche")</f>
        <v>lundi</v>
      </c>
      <c r="K8" s="135">
        <f>K23+1</f>
        <v>43577</v>
      </c>
      <c r="M8" s="239" t="s">
        <v>10</v>
      </c>
      <c r="N8" s="240"/>
      <c r="O8" s="137" t="str">
        <f>CHOOSE(WEEKDAY(P8,2),"lundi","mardi","mercredi","jeudi","vendredi","samedi","dimanche")</f>
        <v>lundi</v>
      </c>
      <c r="P8" s="135">
        <f>P23+1</f>
        <v>43577</v>
      </c>
      <c r="R8" s="241" t="s">
        <v>11</v>
      </c>
      <c r="S8" s="242"/>
      <c r="T8" s="138" t="str">
        <f>CHOOSE(WEEKDAY(U8,2),"lundi","mardi","mercredi","jeudi","vendredi","samedi","dimanche")</f>
        <v>mardi</v>
      </c>
      <c r="U8" s="136">
        <f>U23-47</f>
        <v>43529</v>
      </c>
      <c r="W8" s="260" t="s">
        <v>12</v>
      </c>
      <c r="X8" s="261"/>
      <c r="Y8" s="138" t="str">
        <f>CHOOSE(WEEKDAY(Z8,2),"lundi","mardi","mercredi","jeudi","vendredi","samedi","dimanche")</f>
        <v>vendredi</v>
      </c>
      <c r="Z8" s="136">
        <f>Z23-2</f>
        <v>43574</v>
      </c>
      <c r="AB8" s="239" t="s">
        <v>10</v>
      </c>
      <c r="AC8" s="240"/>
      <c r="AD8" s="137" t="str">
        <f>CHOOSE(WEEKDAY(AE8,2),"lundi","mardi","mercredi","jeudi","vendredi","samedi","dimanche")</f>
        <v>lundi</v>
      </c>
      <c r="AE8" s="135">
        <f>AE23+1</f>
        <v>43577</v>
      </c>
    </row>
    <row r="9" spans="2:31" ht="15.75" customHeight="1" x14ac:dyDescent="0.3">
      <c r="C9" s="239" t="s">
        <v>13</v>
      </c>
      <c r="D9" s="240"/>
      <c r="E9" s="153" t="str">
        <f t="shared" si="0"/>
        <v>mercredi</v>
      </c>
      <c r="F9" s="135">
        <f>DATE(Anolu,5,1)</f>
        <v>43586</v>
      </c>
      <c r="G9" s="66"/>
      <c r="H9" s="239" t="s">
        <v>13</v>
      </c>
      <c r="I9" s="240"/>
      <c r="J9" s="137" t="str">
        <f t="shared" ref="J9:J17" si="1">CHOOSE(WEEKDAY(K9,2),"lundi","mardi","mercredi","jeudi","vendredi","samedi","dimanche")</f>
        <v>mercredi</v>
      </c>
      <c r="K9" s="135">
        <f>DATE(Anofr,5,1)</f>
        <v>43586</v>
      </c>
      <c r="M9" s="239" t="s">
        <v>13</v>
      </c>
      <c r="N9" s="240"/>
      <c r="O9" s="137" t="str">
        <f t="shared" ref="O9:O16" si="2">CHOOSE(WEEKDAY(P9,2),"lundi","mardi","mercredi","jeudi","vendredi","samedi","dimanche")</f>
        <v>mercredi</v>
      </c>
      <c r="P9" s="135">
        <f>DATE(Anobe,5,1)</f>
        <v>43586</v>
      </c>
      <c r="R9" s="239" t="s">
        <v>14</v>
      </c>
      <c r="S9" s="240"/>
      <c r="T9" s="138" t="str">
        <f t="shared" ref="T9:T19" si="3">CHOOSE(WEEKDAY(U9,2),"lundi","mardi","mercredi","jeudi","vendredi","samedi","dimanche")</f>
        <v>vendredi</v>
      </c>
      <c r="U9" s="135">
        <f>U23-2</f>
        <v>43574</v>
      </c>
      <c r="W9" s="239" t="s">
        <v>10</v>
      </c>
      <c r="X9" s="240"/>
      <c r="Y9" s="138" t="str">
        <f t="shared" ref="Y9:Y12" si="4">CHOOSE(WEEKDAY(Z9,2),"lundi","mardi","mercredi","jeudi","vendredi","samedi","dimanche")</f>
        <v>lundi</v>
      </c>
      <c r="Z9" s="135">
        <f>Z23+1</f>
        <v>43577</v>
      </c>
      <c r="AB9" s="239" t="s">
        <v>13</v>
      </c>
      <c r="AC9" s="240"/>
      <c r="AD9" s="137" t="str">
        <f t="shared" ref="AD9:AD17" si="5">CHOOSE(WEEKDAY(AE9,2),"lundi","mardi","mercredi","jeudi","vendredi","samedi","dimanche")</f>
        <v>mercredi</v>
      </c>
      <c r="AE9" s="135">
        <f>DATE(Anovaclu,5,1)</f>
        <v>43586</v>
      </c>
    </row>
    <row r="10" spans="2:31" ht="15.75" customHeight="1" x14ac:dyDescent="0.3">
      <c r="C10" s="260" t="s">
        <v>112</v>
      </c>
      <c r="D10" s="261"/>
      <c r="E10" s="153" t="str">
        <f t="shared" si="0"/>
        <v>jeudi</v>
      </c>
      <c r="F10" s="136">
        <f>DATE(Anolu,5,9)</f>
        <v>43594</v>
      </c>
      <c r="G10" s="66"/>
      <c r="H10" s="239" t="s">
        <v>15</v>
      </c>
      <c r="I10" s="240"/>
      <c r="J10" s="137" t="str">
        <f t="shared" si="1"/>
        <v>mercredi</v>
      </c>
      <c r="K10" s="135">
        <f>DATE(Anofr,5,8)</f>
        <v>43593</v>
      </c>
      <c r="M10" s="239" t="s">
        <v>16</v>
      </c>
      <c r="N10" s="240"/>
      <c r="O10" s="137" t="str">
        <f t="shared" si="2"/>
        <v>jeudi</v>
      </c>
      <c r="P10" s="135">
        <f>P23+39</f>
        <v>43615</v>
      </c>
      <c r="R10" s="241" t="s">
        <v>17</v>
      </c>
      <c r="S10" s="242"/>
      <c r="T10" s="138" t="str">
        <f t="shared" si="3"/>
        <v>jeudi</v>
      </c>
      <c r="U10" s="136">
        <f>DATE(Anopt,4,25)</f>
        <v>43580</v>
      </c>
      <c r="W10" s="239" t="s">
        <v>13</v>
      </c>
      <c r="X10" s="240"/>
      <c r="Y10" s="138" t="str">
        <f t="shared" si="4"/>
        <v>mercredi</v>
      </c>
      <c r="Z10" s="135">
        <f>DATE(Anoall,5,1)</f>
        <v>43586</v>
      </c>
      <c r="AB10" s="260" t="s">
        <v>112</v>
      </c>
      <c r="AC10" s="261"/>
      <c r="AD10" s="137" t="str">
        <f t="shared" si="5"/>
        <v>jeudi</v>
      </c>
      <c r="AE10" s="136">
        <f>DATE(Anovaclu,5,9)</f>
        <v>43594</v>
      </c>
    </row>
    <row r="11" spans="2:31" ht="15.75" customHeight="1" x14ac:dyDescent="0.3">
      <c r="C11" s="239" t="s">
        <v>16</v>
      </c>
      <c r="D11" s="240"/>
      <c r="E11" s="153" t="str">
        <f t="shared" si="0"/>
        <v>jeudi</v>
      </c>
      <c r="F11" s="135">
        <f>F23+39</f>
        <v>43615</v>
      </c>
      <c r="G11" s="66"/>
      <c r="H11" s="239" t="s">
        <v>16</v>
      </c>
      <c r="I11" s="240"/>
      <c r="J11" s="137" t="str">
        <f t="shared" si="1"/>
        <v>jeudi</v>
      </c>
      <c r="K11" s="135">
        <f>K23+39</f>
        <v>43615</v>
      </c>
      <c r="M11" s="239" t="s">
        <v>18</v>
      </c>
      <c r="N11" s="240"/>
      <c r="O11" s="137" t="str">
        <f t="shared" si="2"/>
        <v>lundi</v>
      </c>
      <c r="P11" s="135">
        <f>P23+50</f>
        <v>43626</v>
      </c>
      <c r="R11" s="239" t="s">
        <v>19</v>
      </c>
      <c r="S11" s="240"/>
      <c r="T11" s="138" t="str">
        <f t="shared" si="3"/>
        <v>mercredi</v>
      </c>
      <c r="U11" s="135">
        <f>DATE(Anopt,5,1)</f>
        <v>43586</v>
      </c>
      <c r="W11" s="239" t="s">
        <v>16</v>
      </c>
      <c r="X11" s="240"/>
      <c r="Y11" s="138" t="str">
        <f t="shared" si="4"/>
        <v>jeudi</v>
      </c>
      <c r="Z11" s="135">
        <f>Z23+39</f>
        <v>43615</v>
      </c>
      <c r="AB11" s="239" t="s">
        <v>16</v>
      </c>
      <c r="AC11" s="240"/>
      <c r="AD11" s="137" t="str">
        <f t="shared" si="5"/>
        <v>jeudi</v>
      </c>
      <c r="AE11" s="135">
        <f>AE23+39</f>
        <v>43615</v>
      </c>
    </row>
    <row r="12" spans="2:31" ht="15.75" customHeight="1" x14ac:dyDescent="0.3">
      <c r="C12" s="239" t="s">
        <v>18</v>
      </c>
      <c r="D12" s="240"/>
      <c r="E12" s="152" t="str">
        <f t="shared" si="0"/>
        <v>lundi</v>
      </c>
      <c r="F12" s="135">
        <f>F23+50</f>
        <v>43626</v>
      </c>
      <c r="G12" s="66"/>
      <c r="H12" s="239" t="s">
        <v>18</v>
      </c>
      <c r="I12" s="240"/>
      <c r="J12" s="137" t="str">
        <f t="shared" si="1"/>
        <v>lundi</v>
      </c>
      <c r="K12" s="135">
        <f>K23+50</f>
        <v>43626</v>
      </c>
      <c r="M12" s="239" t="s">
        <v>20</v>
      </c>
      <c r="N12" s="240"/>
      <c r="O12" s="137" t="str">
        <f t="shared" si="2"/>
        <v>dimanche</v>
      </c>
      <c r="P12" s="135">
        <f>DATE(Anobe,7,21)</f>
        <v>43667</v>
      </c>
      <c r="R12" s="241" t="s">
        <v>21</v>
      </c>
      <c r="S12" s="242"/>
      <c r="T12" s="138" t="str">
        <f t="shared" si="3"/>
        <v>jeudi</v>
      </c>
      <c r="U12" s="136">
        <f>U23+60</f>
        <v>43636</v>
      </c>
      <c r="W12" s="239" t="s">
        <v>18</v>
      </c>
      <c r="X12" s="240"/>
      <c r="Y12" s="138" t="str">
        <f t="shared" si="4"/>
        <v>lundi</v>
      </c>
      <c r="Z12" s="135">
        <f>Z23+50</f>
        <v>43626</v>
      </c>
      <c r="AB12" s="239" t="s">
        <v>18</v>
      </c>
      <c r="AC12" s="240"/>
      <c r="AD12" s="137" t="str">
        <f t="shared" si="5"/>
        <v>lundi</v>
      </c>
      <c r="AE12" s="135">
        <f>AE23+50</f>
        <v>43626</v>
      </c>
    </row>
    <row r="13" spans="2:31" ht="15.75" customHeight="1" x14ac:dyDescent="0.3">
      <c r="C13" s="239" t="s">
        <v>20</v>
      </c>
      <c r="D13" s="240"/>
      <c r="E13" s="153" t="str">
        <f t="shared" si="0"/>
        <v>dimanche</v>
      </c>
      <c r="F13" s="135">
        <f>DATE(Anolu,6,23)</f>
        <v>43639</v>
      </c>
      <c r="G13" s="66"/>
      <c r="H13" s="239" t="s">
        <v>20</v>
      </c>
      <c r="I13" s="240"/>
      <c r="J13" s="137" t="str">
        <f t="shared" si="1"/>
        <v>dimanche</v>
      </c>
      <c r="K13" s="135">
        <f>DATE(Anofr,7,14)</f>
        <v>43660</v>
      </c>
      <c r="M13" s="239" t="s">
        <v>22</v>
      </c>
      <c r="N13" s="240"/>
      <c r="O13" s="137" t="str">
        <f t="shared" si="2"/>
        <v>jeudi</v>
      </c>
      <c r="P13" s="135">
        <f>DATE(Anobe,8,15)</f>
        <v>43692</v>
      </c>
      <c r="R13" s="239" t="s">
        <v>23</v>
      </c>
      <c r="S13" s="240"/>
      <c r="T13" s="138" t="str">
        <f t="shared" si="3"/>
        <v>lundi</v>
      </c>
      <c r="U13" s="135">
        <f>DATE(Anopt,6,10)</f>
        <v>43626</v>
      </c>
      <c r="W13" s="243" t="s">
        <v>121</v>
      </c>
      <c r="X13" s="244"/>
      <c r="Y13" s="163" t="str">
        <f>CHOOSE(WEEKDAY(Z13,2),"lundi","mardi","mercredi","jeudi","vendredi","samedi","dimanche")</f>
        <v>jeudi</v>
      </c>
      <c r="Z13" s="162">
        <f>Z23+60</f>
        <v>43636</v>
      </c>
      <c r="AA13" s="161"/>
      <c r="AB13" s="239" t="s">
        <v>20</v>
      </c>
      <c r="AC13" s="240"/>
      <c r="AD13" s="137" t="str">
        <f t="shared" si="5"/>
        <v>dimanche</v>
      </c>
      <c r="AE13" s="135">
        <f>DATE(Anovaclu,6,23)</f>
        <v>43639</v>
      </c>
    </row>
    <row r="14" spans="2:31" ht="15.75" customHeight="1" x14ac:dyDescent="0.3">
      <c r="C14" s="239" t="s">
        <v>22</v>
      </c>
      <c r="D14" s="240"/>
      <c r="E14" s="153" t="str">
        <f t="shared" si="0"/>
        <v>jeudi</v>
      </c>
      <c r="F14" s="135">
        <f>DATE(Anolu,8,15)</f>
        <v>43692</v>
      </c>
      <c r="G14" s="66"/>
      <c r="H14" s="239" t="s">
        <v>22</v>
      </c>
      <c r="I14" s="240"/>
      <c r="J14" s="137" t="str">
        <f t="shared" si="1"/>
        <v>jeudi</v>
      </c>
      <c r="K14" s="135">
        <f>DATE(Anofr,8,15)</f>
        <v>43692</v>
      </c>
      <c r="M14" s="239" t="s">
        <v>24</v>
      </c>
      <c r="N14" s="240"/>
      <c r="O14" s="137" t="str">
        <f t="shared" si="2"/>
        <v>vendredi</v>
      </c>
      <c r="P14" s="135">
        <f>DATE(Anobe,11,1)</f>
        <v>43770</v>
      </c>
      <c r="R14" s="239" t="s">
        <v>25</v>
      </c>
      <c r="S14" s="240"/>
      <c r="T14" s="138" t="str">
        <f t="shared" si="3"/>
        <v>jeudi</v>
      </c>
      <c r="U14" s="135">
        <f>DATE(Anopt,8,15)</f>
        <v>43692</v>
      </c>
      <c r="W14" s="239" t="s">
        <v>111</v>
      </c>
      <c r="X14" s="240"/>
      <c r="Y14" s="138" t="str">
        <f>CHOOSE(WEEKDAY(Z14,2),"lundi","mardi","mercredi","jeudi","vendredi","samedi","dimanche")</f>
        <v>jeudi</v>
      </c>
      <c r="Z14" s="135">
        <f>DATE(Anoall,10,3)</f>
        <v>43741</v>
      </c>
      <c r="AB14" s="239" t="s">
        <v>22</v>
      </c>
      <c r="AC14" s="240"/>
      <c r="AD14" s="137" t="str">
        <f t="shared" si="5"/>
        <v>jeudi</v>
      </c>
      <c r="AE14" s="135">
        <f>DATE(Anovaclu,8,15)</f>
        <v>43692</v>
      </c>
    </row>
    <row r="15" spans="2:31" ht="16.350000000000001" customHeight="1" x14ac:dyDescent="0.3">
      <c r="C15" s="239" t="s">
        <v>24</v>
      </c>
      <c r="D15" s="240"/>
      <c r="E15" s="153" t="str">
        <f t="shared" si="0"/>
        <v>vendredi</v>
      </c>
      <c r="F15" s="135">
        <f>DATE(Anolu,11,1)</f>
        <v>43770</v>
      </c>
      <c r="G15" s="66"/>
      <c r="H15" s="239" t="s">
        <v>24</v>
      </c>
      <c r="I15" s="240"/>
      <c r="J15" s="137" t="str">
        <f t="shared" si="1"/>
        <v>vendredi</v>
      </c>
      <c r="K15" s="135">
        <f>DATE(Anofr,11,1)</f>
        <v>43770</v>
      </c>
      <c r="M15" s="239" t="s">
        <v>27</v>
      </c>
      <c r="N15" s="240"/>
      <c r="O15" s="137" t="str">
        <f t="shared" si="2"/>
        <v>lundi</v>
      </c>
      <c r="P15" s="135">
        <f>DATE(Anobe,11,11)</f>
        <v>43780</v>
      </c>
      <c r="R15" s="241" t="s">
        <v>28</v>
      </c>
      <c r="S15" s="242"/>
      <c r="T15" s="138" t="str">
        <f t="shared" si="3"/>
        <v>samedi</v>
      </c>
      <c r="U15" s="136">
        <f>DATE(Anopt,10,5)</f>
        <v>43743</v>
      </c>
      <c r="W15" s="243" t="s">
        <v>24</v>
      </c>
      <c r="X15" s="244"/>
      <c r="Y15" s="163" t="str">
        <f>CHOOSE(WEEKDAY(Z15,2),"lundi","mardi","mercredi","jeudi","vendredi","samedi","dimanche")</f>
        <v>vendredi</v>
      </c>
      <c r="Z15" s="160">
        <f>DATE(Anoall,11,1)</f>
        <v>43770</v>
      </c>
      <c r="AA15" s="161"/>
      <c r="AB15" s="239" t="s">
        <v>24</v>
      </c>
      <c r="AC15" s="240"/>
      <c r="AD15" s="137" t="str">
        <f t="shared" si="5"/>
        <v>vendredi</v>
      </c>
      <c r="AE15" s="135">
        <f>DATE(Anovaclu,11,1)</f>
        <v>43770</v>
      </c>
    </row>
    <row r="16" spans="2:31" ht="15.75" customHeight="1" thickBot="1" x14ac:dyDescent="0.35">
      <c r="C16" s="239" t="s">
        <v>26</v>
      </c>
      <c r="D16" s="240"/>
      <c r="E16" s="152" t="str">
        <f t="shared" si="0"/>
        <v>mercredi</v>
      </c>
      <c r="F16" s="135">
        <f>DATE(Anolu,12,25)</f>
        <v>43824</v>
      </c>
      <c r="G16" s="67"/>
      <c r="H16" s="239" t="s">
        <v>27</v>
      </c>
      <c r="I16" s="240"/>
      <c r="J16" s="137" t="str">
        <f t="shared" si="1"/>
        <v>lundi</v>
      </c>
      <c r="K16" s="135">
        <f>DATE(Anofr,11,11)</f>
        <v>43780</v>
      </c>
      <c r="M16" s="282" t="s">
        <v>26</v>
      </c>
      <c r="N16" s="283"/>
      <c r="O16" s="155" t="str">
        <f t="shared" si="2"/>
        <v>mercredi</v>
      </c>
      <c r="P16" s="68">
        <f>DATE(Anobe,12,25)</f>
        <v>43824</v>
      </c>
      <c r="R16" s="239" t="s">
        <v>30</v>
      </c>
      <c r="S16" s="240"/>
      <c r="T16" s="138" t="str">
        <f t="shared" si="3"/>
        <v>vendredi</v>
      </c>
      <c r="U16" s="135">
        <f>DATE(Anopt,11,1)</f>
        <v>43770</v>
      </c>
      <c r="W16" s="239" t="s">
        <v>26</v>
      </c>
      <c r="X16" s="240"/>
      <c r="Y16" s="138" t="str">
        <f>CHOOSE(WEEKDAY(Z16,2),"lundi","mardi","mercredi","jeudi","vendredi","samedi","dimanche")</f>
        <v>mercredi</v>
      </c>
      <c r="Z16" s="135">
        <f>DATE(Anoall,12,25)</f>
        <v>43824</v>
      </c>
      <c r="AB16" s="239" t="s">
        <v>26</v>
      </c>
      <c r="AC16" s="240"/>
      <c r="AD16" s="137" t="str">
        <f t="shared" si="5"/>
        <v>mercredi</v>
      </c>
      <c r="AE16" s="135">
        <f>DATE(Anovaclu,12,25)</f>
        <v>43824</v>
      </c>
    </row>
    <row r="17" spans="1:31" ht="15.75" customHeight="1" thickBot="1" x14ac:dyDescent="0.35">
      <c r="C17" s="282" t="s">
        <v>29</v>
      </c>
      <c r="D17" s="283"/>
      <c r="E17" s="150" t="str">
        <f t="shared" si="0"/>
        <v>jeudi</v>
      </c>
      <c r="F17" s="68">
        <f>F16+1</f>
        <v>43825</v>
      </c>
      <c r="G17" s="67"/>
      <c r="H17" s="282" t="s">
        <v>26</v>
      </c>
      <c r="I17" s="283"/>
      <c r="J17" s="155" t="str">
        <f t="shared" si="1"/>
        <v>mercredi</v>
      </c>
      <c r="K17" s="68">
        <f>DATE(Anofr,12,25)</f>
        <v>43824</v>
      </c>
      <c r="O17" s="69"/>
      <c r="R17" s="239" t="s">
        <v>31</v>
      </c>
      <c r="S17" s="240"/>
      <c r="T17" s="138" t="str">
        <f t="shared" si="3"/>
        <v>dimanche</v>
      </c>
      <c r="U17" s="135">
        <f>DATE(Anopt,12,1)</f>
        <v>43800</v>
      </c>
      <c r="W17" s="237" t="s">
        <v>29</v>
      </c>
      <c r="X17" s="238"/>
      <c r="Y17" s="157" t="str">
        <f>CHOOSE(WEEKDAY(Z17,2),"lundi","mardi","mercredi","jeudi","vendredi","samedi","dimanche")</f>
        <v>jeudi</v>
      </c>
      <c r="Z17" s="68">
        <f>Z16+1</f>
        <v>43825</v>
      </c>
      <c r="AB17" s="282" t="s">
        <v>29</v>
      </c>
      <c r="AC17" s="283"/>
      <c r="AD17" s="137" t="str">
        <f t="shared" si="5"/>
        <v>jeudi</v>
      </c>
      <c r="AE17" s="130">
        <f>AE16+1</f>
        <v>43825</v>
      </c>
    </row>
    <row r="18" spans="1:31" ht="15.75" customHeight="1" x14ac:dyDescent="0.3">
      <c r="D18" s="69"/>
      <c r="E18" s="69"/>
      <c r="F18" s="69"/>
      <c r="G18" s="66"/>
      <c r="H18" s="69"/>
      <c r="I18" s="69"/>
      <c r="J18" s="69"/>
      <c r="R18" s="241" t="s">
        <v>32</v>
      </c>
      <c r="S18" s="242"/>
      <c r="T18" s="138" t="str">
        <f t="shared" si="3"/>
        <v>dimanche</v>
      </c>
      <c r="U18" s="136">
        <f>DATE(Anopt,12,8)</f>
        <v>43807</v>
      </c>
      <c r="AC18" s="69"/>
      <c r="AD18" s="69"/>
      <c r="AE18" s="69"/>
    </row>
    <row r="19" spans="1:31" ht="15.75" customHeight="1" thickBot="1" x14ac:dyDescent="0.35">
      <c r="C19" s="126"/>
      <c r="D19" s="126"/>
      <c r="E19" s="72"/>
      <c r="F19" s="66"/>
      <c r="G19" s="66"/>
      <c r="R19" s="282" t="s">
        <v>33</v>
      </c>
      <c r="S19" s="283"/>
      <c r="T19" s="138" t="str">
        <f t="shared" si="3"/>
        <v>mercredi</v>
      </c>
      <c r="U19" s="68">
        <f>DATE(Anopt,12,25)</f>
        <v>43824</v>
      </c>
      <c r="AB19" s="126"/>
      <c r="AC19" s="126"/>
      <c r="AD19" s="72"/>
      <c r="AE19" s="66"/>
    </row>
    <row r="20" spans="1:31" ht="14.55" customHeight="1" x14ac:dyDescent="0.3">
      <c r="C20" s="126"/>
      <c r="D20" s="126"/>
      <c r="E20" s="72"/>
      <c r="F20" s="66"/>
      <c r="G20" s="66"/>
      <c r="R20" s="139"/>
      <c r="S20" s="139"/>
      <c r="T20" s="65"/>
      <c r="U20" s="140"/>
      <c r="AB20" s="126"/>
      <c r="AC20" s="126"/>
      <c r="AD20" s="72"/>
      <c r="AE20" s="66"/>
    </row>
    <row r="21" spans="1:31" ht="14.55" customHeight="1" thickBot="1" x14ac:dyDescent="0.35">
      <c r="C21" s="127"/>
      <c r="D21" s="127"/>
      <c r="E21" s="127"/>
      <c r="F21" s="127"/>
      <c r="G21" s="66"/>
      <c r="H21" s="287"/>
      <c r="I21" s="287"/>
      <c r="J21" s="70"/>
      <c r="K21" s="71"/>
      <c r="M21" s="127"/>
      <c r="N21" s="127"/>
      <c r="O21" s="127"/>
      <c r="P21" s="127"/>
      <c r="R21" s="127"/>
      <c r="S21" s="127"/>
      <c r="T21" s="127"/>
      <c r="U21" s="127"/>
      <c r="W21" s="127"/>
      <c r="X21" s="127"/>
      <c r="Y21" s="127"/>
      <c r="Z21" s="127"/>
      <c r="AB21" s="127"/>
      <c r="AC21" s="127"/>
      <c r="AD21" s="127"/>
      <c r="AE21" s="127"/>
    </row>
    <row r="22" spans="1:31" ht="18.149999999999999" customHeight="1" thickBot="1" x14ac:dyDescent="0.35">
      <c r="C22" s="284" t="s">
        <v>34</v>
      </c>
      <c r="D22" s="285"/>
      <c r="E22" s="285"/>
      <c r="F22" s="286"/>
      <c r="H22" s="284" t="s">
        <v>34</v>
      </c>
      <c r="I22" s="285"/>
      <c r="J22" s="285"/>
      <c r="K22" s="286"/>
      <c r="M22" s="284" t="s">
        <v>34</v>
      </c>
      <c r="N22" s="285"/>
      <c r="O22" s="285"/>
      <c r="P22" s="286"/>
      <c r="R22" s="284" t="s">
        <v>34</v>
      </c>
      <c r="S22" s="285"/>
      <c r="T22" s="285"/>
      <c r="U22" s="286"/>
      <c r="W22" s="284" t="s">
        <v>34</v>
      </c>
      <c r="X22" s="285"/>
      <c r="Y22" s="285"/>
      <c r="Z22" s="286"/>
      <c r="AB22" s="284" t="s">
        <v>34</v>
      </c>
      <c r="AC22" s="285"/>
      <c r="AD22" s="285"/>
      <c r="AE22" s="286"/>
    </row>
    <row r="23" spans="1:31" ht="15.75" customHeight="1" thickTop="1" x14ac:dyDescent="0.3">
      <c r="C23" s="280" t="s">
        <v>35</v>
      </c>
      <c r="D23" s="281"/>
      <c r="E23" s="133" t="str">
        <f>CHOOSE(WEEKDAY(F23,2),"lundi","mardi","mercredi","jeudi","vendredi","samedi","dimanche")</f>
        <v>dimanche</v>
      </c>
      <c r="F23" s="132">
        <f>ROUND(DATE(Anolu,4,1)/7+MOD(19*MOD(Anolu,19)-7,30)*14/100,0)*7-6</f>
        <v>43576</v>
      </c>
      <c r="H23" s="280" t="s">
        <v>35</v>
      </c>
      <c r="I23" s="281"/>
      <c r="J23" s="133" t="str">
        <f>CHOOSE(WEEKDAY(K23,2),"lundi","mardi","mercredi","jeudi","vendredi","samedi","dimanche")</f>
        <v>dimanche</v>
      </c>
      <c r="K23" s="132">
        <f>ROUND(DATE(Anofr,4,1)/7+MOD(19*MOD(Anofr,19)-7,30)*14/100,0)*7-6</f>
        <v>43576</v>
      </c>
      <c r="M23" s="280" t="s">
        <v>35</v>
      </c>
      <c r="N23" s="281"/>
      <c r="O23" s="133" t="str">
        <f>CHOOSE(WEEKDAY(P23,2),"lundi","mardi","mercredi","jeudi","vendredi","samedi","dimanche")</f>
        <v>dimanche</v>
      </c>
      <c r="P23" s="132">
        <f>ROUND(DATE(Anobe,4,1)/7+MOD(19*MOD(Anobe,19)-7,30)*14/100,0)*7-6</f>
        <v>43576</v>
      </c>
      <c r="R23" s="280" t="s">
        <v>35</v>
      </c>
      <c r="S23" s="281"/>
      <c r="T23" s="133" t="str">
        <f>CHOOSE(WEEKDAY(U23,2),"lundi","mardi","mercredi","jeudi","vendredi","samedi","dimanche")</f>
        <v>dimanche</v>
      </c>
      <c r="U23" s="132">
        <f>ROUND(DATE(Anopt,4,1)/7+MOD(19*MOD(Anopt,19)-7,30)*14/100,0)*7-6</f>
        <v>43576</v>
      </c>
      <c r="W23" s="280" t="s">
        <v>35</v>
      </c>
      <c r="X23" s="281"/>
      <c r="Y23" s="133" t="str">
        <f>CHOOSE(WEEKDAY(Z23,2),"lundi","mardi","mercredi","jeudi","vendredi","samedi","dimanche")</f>
        <v>dimanche</v>
      </c>
      <c r="Z23" s="132">
        <f>ROUND(DATE(Anoall,4,1)/7+MOD(19*MOD(Anoall,19)-7,30)*14/100,0)*7-6</f>
        <v>43576</v>
      </c>
      <c r="AB23" s="280" t="s">
        <v>35</v>
      </c>
      <c r="AC23" s="281"/>
      <c r="AD23" s="133" t="str">
        <f>CHOOSE(WEEKDAY(AE23,2),"lundi","mardi","mercredi","jeudi","vendredi","samedi","dimanche")</f>
        <v>dimanche</v>
      </c>
      <c r="AE23" s="132">
        <f>ROUND(DATE(Anovaclu,4,1)/7+MOD(19*MOD(Anovaclu,19)-7,30)*14/100,0)*7-6</f>
        <v>43576</v>
      </c>
    </row>
    <row r="24" spans="1:31" ht="15.75" customHeight="1" thickBot="1" x14ac:dyDescent="0.35">
      <c r="C24" s="278" t="s">
        <v>36</v>
      </c>
      <c r="D24" s="279"/>
      <c r="E24" s="131" t="str">
        <f>CHOOSE(WEEKDAY(F24,2),"lundi","mardi","mercredi","jeudi","vendredi","samedi","dimanche")</f>
        <v>dimanche</v>
      </c>
      <c r="F24" s="68">
        <f>F23+49</f>
        <v>43625</v>
      </c>
      <c r="H24" s="278" t="s">
        <v>36</v>
      </c>
      <c r="I24" s="279"/>
      <c r="J24" s="131" t="str">
        <f>CHOOSE(WEEKDAY(K24,2),"lundi","mardi","mercredi","jeudi","vendredi","samedi","dimanche")</f>
        <v>dimanche</v>
      </c>
      <c r="K24" s="68">
        <f>K23+49</f>
        <v>43625</v>
      </c>
      <c r="M24" s="278" t="s">
        <v>36</v>
      </c>
      <c r="N24" s="279"/>
      <c r="O24" s="131" t="str">
        <f>CHOOSE(WEEKDAY(P24,2),"lundi","mardi","mercredi","jeudi","vendredi","samedi","dimanche")</f>
        <v>dimanche</v>
      </c>
      <c r="P24" s="68">
        <f>P23+49</f>
        <v>43625</v>
      </c>
      <c r="R24" s="278" t="s">
        <v>36</v>
      </c>
      <c r="S24" s="279"/>
      <c r="T24" s="131" t="str">
        <f>CHOOSE(WEEKDAY(U24,2),"lundi","mardi","mercredi","jeudi","vendredi","samedi","dimanche")</f>
        <v>dimanche</v>
      </c>
      <c r="U24" s="68">
        <f>U23+49</f>
        <v>43625</v>
      </c>
      <c r="W24" s="278" t="s">
        <v>36</v>
      </c>
      <c r="X24" s="279"/>
      <c r="Y24" s="131" t="str">
        <f>CHOOSE(WEEKDAY(Z24,2),"lundi","mardi","mercredi","jeudi","vendredi","samedi","dimanche")</f>
        <v>dimanche</v>
      </c>
      <c r="Z24" s="68">
        <f>Z23+49</f>
        <v>43625</v>
      </c>
      <c r="AB24" s="278" t="s">
        <v>36</v>
      </c>
      <c r="AC24" s="279"/>
      <c r="AD24" s="131" t="str">
        <f>CHOOSE(WEEKDAY(AE24,2),"lundi","mardi","mercredi","jeudi","vendredi","samedi","dimanche")</f>
        <v>dimanche</v>
      </c>
      <c r="AE24" s="68">
        <f>AE23+49</f>
        <v>43625</v>
      </c>
    </row>
    <row r="26" spans="1:31" ht="15.15" thickBot="1" x14ac:dyDescent="0.35">
      <c r="A26" s="94"/>
      <c r="B26" s="114"/>
      <c r="C26" s="114"/>
      <c r="D26" s="114"/>
      <c r="E26" s="114"/>
      <c r="F26" s="114"/>
      <c r="G26" s="114"/>
      <c r="H26" s="114"/>
      <c r="I26" s="94"/>
    </row>
    <row r="27" spans="1:31" ht="18.149999999999999" customHeight="1" thickTop="1" thickBot="1" x14ac:dyDescent="0.35">
      <c r="A27" s="95"/>
      <c r="B27" s="245" t="s">
        <v>39</v>
      </c>
      <c r="C27" s="246"/>
      <c r="D27" s="246"/>
      <c r="E27" s="246"/>
      <c r="F27" s="246"/>
      <c r="G27" s="246"/>
      <c r="H27" s="247"/>
      <c r="I27" s="94"/>
    </row>
    <row r="28" spans="1:31" ht="4.25" customHeight="1" thickTop="1" x14ac:dyDescent="0.3">
      <c r="A28" s="95"/>
      <c r="B28" s="272"/>
      <c r="C28" s="273"/>
      <c r="D28" s="273"/>
      <c r="E28" s="273"/>
      <c r="F28" s="273"/>
      <c r="G28" s="273"/>
      <c r="H28" s="274"/>
      <c r="I28" s="94"/>
    </row>
    <row r="29" spans="1:31" ht="15.75" x14ac:dyDescent="0.3">
      <c r="A29" s="95"/>
      <c r="B29" s="96"/>
      <c r="C29" s="266">
        <v>2019</v>
      </c>
      <c r="D29" s="267"/>
      <c r="E29" s="267"/>
      <c r="F29" s="267"/>
      <c r="G29" s="268"/>
      <c r="H29" s="97"/>
      <c r="I29" s="98"/>
    </row>
    <row r="30" spans="1:31" x14ac:dyDescent="0.3">
      <c r="A30" s="95"/>
      <c r="B30" s="99"/>
      <c r="C30" s="94"/>
      <c r="D30" s="94"/>
      <c r="E30" s="94"/>
      <c r="F30" s="94"/>
      <c r="G30" s="94"/>
      <c r="H30" s="95"/>
      <c r="I30" s="94"/>
    </row>
    <row r="31" spans="1:31" x14ac:dyDescent="0.3">
      <c r="A31" s="95"/>
      <c r="B31" s="99"/>
      <c r="C31" s="100" t="s">
        <v>40</v>
      </c>
      <c r="D31" s="100" t="s">
        <v>41</v>
      </c>
      <c r="E31" s="100" t="s">
        <v>42</v>
      </c>
      <c r="F31" s="100" t="s">
        <v>43</v>
      </c>
      <c r="G31" s="100" t="s">
        <v>44</v>
      </c>
      <c r="H31" s="101" t="s">
        <v>45</v>
      </c>
      <c r="I31" s="100"/>
    </row>
    <row r="32" spans="1:31" x14ac:dyDescent="0.3">
      <c r="A32" s="95"/>
      <c r="B32" s="99"/>
      <c r="C32" s="94"/>
      <c r="D32" s="94"/>
      <c r="E32" s="94"/>
      <c r="F32" s="94"/>
      <c r="G32" s="94"/>
      <c r="H32" s="95"/>
      <c r="I32" s="94"/>
    </row>
    <row r="33" spans="1:9" x14ac:dyDescent="0.3">
      <c r="A33" s="95"/>
      <c r="B33" s="102" t="s">
        <v>46</v>
      </c>
      <c r="C33" s="103">
        <v>43456</v>
      </c>
      <c r="D33" s="103">
        <v>43512</v>
      </c>
      <c r="E33" s="103">
        <v>43561</v>
      </c>
      <c r="F33" s="103">
        <v>43610</v>
      </c>
      <c r="G33" s="103">
        <v>43659</v>
      </c>
      <c r="H33" s="104">
        <v>43764</v>
      </c>
      <c r="I33" s="103"/>
    </row>
    <row r="34" spans="1:9" x14ac:dyDescent="0.3">
      <c r="A34" s="95"/>
      <c r="B34" s="102" t="s">
        <v>47</v>
      </c>
      <c r="C34" s="103">
        <v>43471</v>
      </c>
      <c r="D34" s="103">
        <v>43520</v>
      </c>
      <c r="E34" s="103">
        <v>43577</v>
      </c>
      <c r="F34" s="103">
        <v>43618</v>
      </c>
      <c r="G34" s="103">
        <v>43723</v>
      </c>
      <c r="H34" s="104">
        <v>43772</v>
      </c>
      <c r="I34" s="103"/>
    </row>
    <row r="35" spans="1:9" x14ac:dyDescent="0.3">
      <c r="A35" s="95"/>
      <c r="B35" s="105"/>
      <c r="C35" s="106"/>
      <c r="D35" s="107"/>
      <c r="E35" s="107"/>
      <c r="F35" s="107"/>
      <c r="G35" s="107"/>
      <c r="H35" s="108"/>
      <c r="I35" s="94"/>
    </row>
    <row r="36" spans="1:9" x14ac:dyDescent="0.3">
      <c r="A36" s="95"/>
      <c r="B36" s="275"/>
      <c r="C36" s="276"/>
      <c r="D36" s="276"/>
      <c r="E36" s="276"/>
      <c r="F36" s="276"/>
      <c r="G36" s="276"/>
      <c r="H36" s="277"/>
      <c r="I36" s="94"/>
    </row>
    <row r="37" spans="1:9" ht="15.75" x14ac:dyDescent="0.3">
      <c r="A37" s="95"/>
      <c r="B37" s="96"/>
      <c r="C37" s="266">
        <v>2020</v>
      </c>
      <c r="D37" s="267"/>
      <c r="E37" s="267"/>
      <c r="F37" s="267"/>
      <c r="G37" s="268"/>
      <c r="H37" s="97"/>
      <c r="I37" s="98"/>
    </row>
    <row r="38" spans="1:9" x14ac:dyDescent="0.3">
      <c r="A38" s="95"/>
      <c r="B38" s="99"/>
      <c r="C38" s="94"/>
      <c r="D38" s="94"/>
      <c r="E38" s="94"/>
      <c r="F38" s="94"/>
      <c r="G38" s="94"/>
      <c r="H38" s="95"/>
      <c r="I38" s="94"/>
    </row>
    <row r="39" spans="1:9" x14ac:dyDescent="0.3">
      <c r="A39" s="95"/>
      <c r="B39" s="99"/>
      <c r="C39" s="100" t="s">
        <v>48</v>
      </c>
      <c r="D39" s="100" t="s">
        <v>41</v>
      </c>
      <c r="E39" s="100" t="s">
        <v>42</v>
      </c>
      <c r="F39" s="100" t="s">
        <v>43</v>
      </c>
      <c r="G39" s="100" t="s">
        <v>44</v>
      </c>
      <c r="H39" s="101" t="s">
        <v>45</v>
      </c>
      <c r="I39" s="100"/>
    </row>
    <row r="40" spans="1:9" x14ac:dyDescent="0.3">
      <c r="A40" s="95"/>
      <c r="B40" s="99"/>
      <c r="C40" s="94"/>
      <c r="D40" s="94"/>
      <c r="E40" s="94"/>
      <c r="F40" s="94"/>
      <c r="G40" s="94"/>
      <c r="H40" s="95"/>
      <c r="I40" s="94"/>
    </row>
    <row r="41" spans="1:9" x14ac:dyDescent="0.3">
      <c r="A41" s="95"/>
      <c r="B41" s="102" t="s">
        <v>46</v>
      </c>
      <c r="C41" s="103">
        <v>43820</v>
      </c>
      <c r="D41" s="103">
        <v>43876</v>
      </c>
      <c r="E41" s="103">
        <v>43925</v>
      </c>
      <c r="F41" s="103">
        <v>43981</v>
      </c>
      <c r="G41" s="103">
        <v>44028</v>
      </c>
      <c r="H41" s="104">
        <v>44135</v>
      </c>
      <c r="I41" s="103"/>
    </row>
    <row r="42" spans="1:9" x14ac:dyDescent="0.3">
      <c r="A42" s="95"/>
      <c r="B42" s="102" t="s">
        <v>47</v>
      </c>
      <c r="C42" s="103">
        <v>43835</v>
      </c>
      <c r="D42" s="103">
        <v>43884</v>
      </c>
      <c r="E42" s="103">
        <v>43940</v>
      </c>
      <c r="F42" s="103">
        <v>43989</v>
      </c>
      <c r="G42" s="103">
        <v>44088</v>
      </c>
      <c r="H42" s="104">
        <v>44143</v>
      </c>
      <c r="I42" s="103"/>
    </row>
    <row r="43" spans="1:9" x14ac:dyDescent="0.3">
      <c r="A43" s="95"/>
      <c r="B43" s="105"/>
      <c r="C43" s="106"/>
      <c r="D43" s="107"/>
      <c r="E43" s="107"/>
      <c r="F43" s="107"/>
      <c r="G43" s="107"/>
      <c r="H43" s="108"/>
      <c r="I43" s="94"/>
    </row>
    <row r="44" spans="1:9" x14ac:dyDescent="0.3">
      <c r="A44" s="95"/>
      <c r="B44" s="275"/>
      <c r="C44" s="276"/>
      <c r="D44" s="276"/>
      <c r="E44" s="276"/>
      <c r="F44" s="276"/>
      <c r="G44" s="276"/>
      <c r="H44" s="277"/>
      <c r="I44" s="94"/>
    </row>
    <row r="45" spans="1:9" ht="15.75" x14ac:dyDescent="0.3">
      <c r="A45" s="95"/>
      <c r="B45" s="96"/>
      <c r="C45" s="266">
        <v>2021</v>
      </c>
      <c r="D45" s="267"/>
      <c r="E45" s="267"/>
      <c r="F45" s="267"/>
      <c r="G45" s="268"/>
      <c r="H45" s="97"/>
      <c r="I45" s="94"/>
    </row>
    <row r="46" spans="1:9" x14ac:dyDescent="0.3">
      <c r="A46" s="95"/>
      <c r="B46" s="99"/>
      <c r="C46" s="94"/>
      <c r="D46" s="94"/>
      <c r="E46" s="94"/>
      <c r="F46" s="94"/>
      <c r="G46" s="94"/>
      <c r="H46" s="95"/>
      <c r="I46" s="94"/>
    </row>
    <row r="47" spans="1:9" x14ac:dyDescent="0.3">
      <c r="A47" s="95"/>
      <c r="B47" s="99"/>
      <c r="C47" s="100" t="s">
        <v>49</v>
      </c>
      <c r="D47" s="100" t="s">
        <v>41</v>
      </c>
      <c r="E47" s="100" t="s">
        <v>42</v>
      </c>
      <c r="F47" s="100" t="s">
        <v>43</v>
      </c>
      <c r="G47" s="100" t="s">
        <v>44</v>
      </c>
      <c r="H47" s="101" t="s">
        <v>45</v>
      </c>
      <c r="I47" s="94"/>
    </row>
    <row r="48" spans="1:9" x14ac:dyDescent="0.3">
      <c r="A48" s="95"/>
      <c r="B48" s="99"/>
      <c r="C48" s="94"/>
      <c r="D48" s="94"/>
      <c r="E48" s="94"/>
      <c r="F48" s="94"/>
      <c r="G48" s="94"/>
      <c r="H48" s="95"/>
      <c r="I48" s="94"/>
    </row>
    <row r="49" spans="1:9" x14ac:dyDescent="0.3">
      <c r="A49" s="95"/>
      <c r="B49" s="102" t="s">
        <v>46</v>
      </c>
      <c r="C49" s="103">
        <v>44184</v>
      </c>
      <c r="D49" s="103">
        <v>44240</v>
      </c>
      <c r="E49" s="103">
        <v>44289</v>
      </c>
      <c r="F49" s="103">
        <v>44338</v>
      </c>
      <c r="G49" s="103">
        <v>44393</v>
      </c>
      <c r="H49" s="104"/>
      <c r="I49" s="94"/>
    </row>
    <row r="50" spans="1:9" x14ac:dyDescent="0.3">
      <c r="A50" s="95"/>
      <c r="B50" s="102" t="s">
        <v>47</v>
      </c>
      <c r="C50" s="103">
        <v>44199</v>
      </c>
      <c r="D50" s="103">
        <v>44248</v>
      </c>
      <c r="E50" s="103">
        <v>44304</v>
      </c>
      <c r="F50" s="103">
        <v>44346</v>
      </c>
      <c r="G50" s="103">
        <v>44453</v>
      </c>
      <c r="H50" s="104"/>
      <c r="I50" s="94"/>
    </row>
    <row r="51" spans="1:9" x14ac:dyDescent="0.3">
      <c r="A51" s="95"/>
      <c r="B51" s="99"/>
      <c r="C51" s="103"/>
      <c r="D51" s="94"/>
      <c r="E51" s="94"/>
      <c r="F51" s="94"/>
      <c r="G51" s="94"/>
      <c r="H51" s="108"/>
      <c r="I51" s="94"/>
    </row>
    <row r="52" spans="1:9" ht="4.25" customHeight="1" x14ac:dyDescent="0.3">
      <c r="A52" s="95"/>
      <c r="B52" s="291"/>
      <c r="C52" s="292"/>
      <c r="D52" s="292"/>
      <c r="E52" s="292"/>
      <c r="F52" s="292"/>
      <c r="G52" s="292"/>
      <c r="H52" s="293"/>
      <c r="I52" s="94"/>
    </row>
    <row r="53" spans="1:9" x14ac:dyDescent="0.3">
      <c r="A53" s="95"/>
      <c r="B53" s="141"/>
      <c r="C53" s="100"/>
      <c r="D53" s="100"/>
      <c r="E53" s="100"/>
      <c r="F53" s="100"/>
      <c r="G53" s="100"/>
      <c r="H53" s="101"/>
      <c r="I53" s="94"/>
    </row>
    <row r="54" spans="1:9" x14ac:dyDescent="0.3">
      <c r="A54" s="95"/>
      <c r="B54" s="143" t="s">
        <v>101</v>
      </c>
      <c r="C54" s="100"/>
      <c r="D54" s="100"/>
      <c r="E54" s="100"/>
      <c r="F54" s="100"/>
      <c r="G54" s="100"/>
      <c r="H54" s="101"/>
      <c r="I54" s="94"/>
    </row>
    <row r="55" spans="1:9" x14ac:dyDescent="0.3">
      <c r="A55" s="95"/>
      <c r="B55" s="143" t="s">
        <v>102</v>
      </c>
      <c r="C55" s="100"/>
      <c r="D55" s="100"/>
      <c r="E55" s="100"/>
      <c r="F55" s="100"/>
      <c r="G55" s="100"/>
      <c r="H55" s="101"/>
      <c r="I55" s="94"/>
    </row>
    <row r="56" spans="1:9" x14ac:dyDescent="0.3">
      <c r="A56" s="95"/>
      <c r="B56" s="143" t="s">
        <v>103</v>
      </c>
      <c r="C56" s="100"/>
      <c r="D56" s="100"/>
      <c r="E56" s="100"/>
      <c r="F56" s="100"/>
      <c r="G56" s="100"/>
      <c r="H56" s="101"/>
      <c r="I56" s="94"/>
    </row>
    <row r="57" spans="1:9" x14ac:dyDescent="0.3">
      <c r="A57" s="95"/>
      <c r="B57" s="100"/>
      <c r="C57" s="100"/>
      <c r="D57" s="100"/>
      <c r="E57" s="100"/>
      <c r="F57" s="100"/>
      <c r="G57" s="100"/>
      <c r="H57" s="101"/>
      <c r="I57" s="94"/>
    </row>
    <row r="58" spans="1:9" ht="16.95" customHeight="1" x14ac:dyDescent="0.3">
      <c r="A58" s="95"/>
      <c r="B58" s="1" t="s">
        <v>71</v>
      </c>
      <c r="H58" s="142"/>
      <c r="I58" s="94"/>
    </row>
    <row r="59" spans="1:9" ht="16.95" customHeight="1" x14ac:dyDescent="0.3">
      <c r="A59" s="95"/>
      <c r="B59" s="294" t="s">
        <v>70</v>
      </c>
      <c r="C59" s="295"/>
      <c r="D59" s="295"/>
      <c r="E59" s="295"/>
      <c r="F59" s="295"/>
      <c r="G59" s="295"/>
      <c r="H59" s="296"/>
      <c r="I59" s="94"/>
    </row>
    <row r="60" spans="1:9" ht="16.95" customHeight="1" x14ac:dyDescent="0.3">
      <c r="A60" s="95"/>
      <c r="B60" s="145" t="s">
        <v>87</v>
      </c>
      <c r="C60" s="164"/>
      <c r="D60" s="164"/>
      <c r="E60" s="164"/>
      <c r="F60" s="164"/>
      <c r="G60" s="164"/>
      <c r="H60" s="165"/>
      <c r="I60" s="94"/>
    </row>
    <row r="61" spans="1:9" x14ac:dyDescent="0.3">
      <c r="A61" s="95"/>
      <c r="B61" s="99"/>
      <c r="C61" s="103"/>
      <c r="D61" s="94"/>
      <c r="E61" s="94"/>
      <c r="F61" s="94"/>
      <c r="G61" s="94"/>
      <c r="H61" s="95"/>
      <c r="I61" s="94"/>
    </row>
    <row r="62" spans="1:9" x14ac:dyDescent="0.3">
      <c r="A62" s="95"/>
      <c r="B62" s="99" t="s">
        <v>93</v>
      </c>
      <c r="C62" s="103"/>
      <c r="D62" s="94"/>
      <c r="E62" s="94"/>
      <c r="F62" s="94"/>
      <c r="G62" s="94"/>
      <c r="H62" s="95"/>
      <c r="I62" s="94"/>
    </row>
    <row r="63" spans="1:9" x14ac:dyDescent="0.3">
      <c r="A63" s="95"/>
      <c r="B63" s="94" t="s">
        <v>72</v>
      </c>
      <c r="C63" s="103"/>
      <c r="D63" s="94"/>
      <c r="E63" s="94"/>
      <c r="F63" s="94"/>
      <c r="G63" s="94"/>
      <c r="H63" s="95"/>
      <c r="I63" s="94"/>
    </row>
    <row r="64" spans="1:9" x14ac:dyDescent="0.3">
      <c r="A64" s="95"/>
      <c r="B64" s="116" t="s">
        <v>54</v>
      </c>
      <c r="C64" s="103"/>
      <c r="D64" s="94"/>
      <c r="E64" s="94"/>
      <c r="F64" s="94"/>
      <c r="G64" s="94"/>
      <c r="H64" s="95"/>
      <c r="I64" s="94"/>
    </row>
    <row r="65" spans="1:9" x14ac:dyDescent="0.3">
      <c r="A65" s="95"/>
      <c r="B65" s="116" t="s">
        <v>106</v>
      </c>
      <c r="C65" s="103"/>
      <c r="D65" s="94"/>
      <c r="E65" s="94"/>
      <c r="F65" s="94"/>
      <c r="G65" s="94"/>
      <c r="H65" s="95"/>
      <c r="I65" s="94"/>
    </row>
    <row r="66" spans="1:9" x14ac:dyDescent="0.3">
      <c r="A66" s="95"/>
      <c r="B66" s="109" t="s">
        <v>88</v>
      </c>
      <c r="C66" s="103"/>
      <c r="D66" s="94"/>
      <c r="E66" s="94"/>
      <c r="F66" s="94"/>
      <c r="G66" s="94"/>
      <c r="H66" s="95"/>
      <c r="I66" s="94"/>
    </row>
    <row r="67" spans="1:9" x14ac:dyDescent="0.3">
      <c r="A67" s="95"/>
      <c r="B67" s="94" t="s">
        <v>75</v>
      </c>
      <c r="C67" s="103"/>
      <c r="D67" s="94"/>
      <c r="E67" s="94"/>
      <c r="F67" s="94"/>
      <c r="G67" s="94"/>
      <c r="H67" s="95"/>
      <c r="I67" s="94"/>
    </row>
    <row r="68" spans="1:9" x14ac:dyDescent="0.3">
      <c r="A68" s="95"/>
      <c r="B68" s="1" t="s">
        <v>68</v>
      </c>
      <c r="C68" s="103"/>
      <c r="D68" s="94"/>
      <c r="E68" s="94"/>
      <c r="F68" s="94"/>
      <c r="G68" s="94"/>
      <c r="H68" s="95"/>
      <c r="I68" s="94"/>
    </row>
    <row r="69" spans="1:9" x14ac:dyDescent="0.3">
      <c r="A69" s="95"/>
      <c r="B69" s="1" t="s">
        <v>69</v>
      </c>
      <c r="H69" s="142"/>
      <c r="I69" s="94"/>
    </row>
    <row r="70" spans="1:9" x14ac:dyDescent="0.3">
      <c r="A70" s="95"/>
      <c r="H70" s="142"/>
      <c r="I70" s="94"/>
    </row>
    <row r="71" spans="1:9" x14ac:dyDescent="0.3">
      <c r="A71" s="95"/>
      <c r="B71" s="99" t="s">
        <v>73</v>
      </c>
      <c r="C71" s="94"/>
      <c r="D71" s="94"/>
      <c r="E71" s="94"/>
      <c r="F71" s="94"/>
      <c r="G71" s="94"/>
      <c r="H71" s="95"/>
      <c r="I71" s="94"/>
    </row>
    <row r="72" spans="1:9" x14ac:dyDescent="0.3">
      <c r="A72" s="95"/>
      <c r="B72" s="99" t="s">
        <v>74</v>
      </c>
      <c r="C72" s="94"/>
      <c r="D72" s="94"/>
      <c r="E72" s="94"/>
      <c r="F72" s="94"/>
      <c r="G72" s="94"/>
      <c r="H72" s="95"/>
      <c r="I72" s="94"/>
    </row>
    <row r="73" spans="1:9" x14ac:dyDescent="0.3">
      <c r="A73" s="95"/>
      <c r="B73" s="109" t="s">
        <v>89</v>
      </c>
      <c r="C73" s="94"/>
      <c r="D73" s="94"/>
      <c r="E73" s="94"/>
      <c r="F73" s="94"/>
      <c r="G73" s="94"/>
      <c r="H73" s="95"/>
      <c r="I73" s="94"/>
    </row>
    <row r="74" spans="1:9" x14ac:dyDescent="0.3">
      <c r="A74" s="95"/>
      <c r="B74" s="109" t="s">
        <v>90</v>
      </c>
      <c r="C74" s="94"/>
      <c r="D74" s="94"/>
      <c r="E74" s="94"/>
      <c r="F74" s="94"/>
      <c r="G74" s="94"/>
      <c r="H74" s="95"/>
      <c r="I74" s="94"/>
    </row>
    <row r="75" spans="1:9" x14ac:dyDescent="0.3">
      <c r="A75" s="95"/>
      <c r="B75" s="99" t="s">
        <v>76</v>
      </c>
      <c r="C75" s="94"/>
      <c r="D75" s="94"/>
      <c r="E75" s="94"/>
      <c r="F75" s="94"/>
      <c r="G75" s="94"/>
      <c r="H75" s="95"/>
      <c r="I75" s="94"/>
    </row>
    <row r="76" spans="1:9" x14ac:dyDescent="0.3">
      <c r="A76" s="95"/>
      <c r="B76" s="1" t="s">
        <v>105</v>
      </c>
      <c r="C76" s="94"/>
      <c r="D76" s="94"/>
      <c r="E76" s="94"/>
      <c r="F76" s="94"/>
      <c r="G76" s="94"/>
      <c r="H76" s="95"/>
      <c r="I76" s="94"/>
    </row>
    <row r="77" spans="1:9" x14ac:dyDescent="0.3">
      <c r="A77" s="95"/>
      <c r="C77" s="94"/>
      <c r="D77" s="94"/>
      <c r="E77" s="94"/>
      <c r="F77" s="94"/>
      <c r="G77" s="94"/>
      <c r="H77" s="95"/>
      <c r="I77" s="94"/>
    </row>
    <row r="78" spans="1:9" x14ac:dyDescent="0.3">
      <c r="A78" s="95"/>
      <c r="B78" s="99" t="s">
        <v>77</v>
      </c>
      <c r="C78" s="94"/>
      <c r="D78" s="94"/>
      <c r="E78" s="94"/>
      <c r="F78" s="94"/>
      <c r="G78" s="94"/>
      <c r="H78" s="95"/>
      <c r="I78" s="94"/>
    </row>
    <row r="79" spans="1:9" x14ac:dyDescent="0.3">
      <c r="A79" s="95"/>
      <c r="B79" s="99" t="s">
        <v>78</v>
      </c>
      <c r="C79" s="94"/>
      <c r="D79" s="94"/>
      <c r="E79" s="94"/>
      <c r="F79" s="94"/>
      <c r="G79" s="94"/>
      <c r="H79" s="95"/>
      <c r="I79" s="94"/>
    </row>
    <row r="80" spans="1:9" x14ac:dyDescent="0.3">
      <c r="A80" s="95"/>
      <c r="B80" s="109" t="s">
        <v>94</v>
      </c>
      <c r="C80" s="94"/>
      <c r="D80" s="94"/>
      <c r="E80" s="94"/>
      <c r="F80" s="94"/>
      <c r="G80" s="94"/>
      <c r="H80" s="95"/>
      <c r="I80" s="94"/>
    </row>
    <row r="81" spans="1:9" x14ac:dyDescent="0.3">
      <c r="A81" s="95"/>
      <c r="B81" s="99" t="s">
        <v>97</v>
      </c>
      <c r="C81" s="94"/>
      <c r="D81" s="94"/>
      <c r="E81" s="94"/>
      <c r="F81" s="94"/>
      <c r="G81" s="94"/>
      <c r="H81" s="95"/>
      <c r="I81" s="94"/>
    </row>
    <row r="82" spans="1:9" x14ac:dyDescent="0.3">
      <c r="A82" s="95"/>
      <c r="C82" s="94"/>
      <c r="D82" s="94"/>
      <c r="E82" s="94"/>
      <c r="F82" s="94"/>
      <c r="G82" s="94"/>
      <c r="H82" s="95"/>
      <c r="I82" s="94"/>
    </row>
    <row r="83" spans="1:9" ht="14.55" customHeight="1" x14ac:dyDescent="0.3">
      <c r="A83" s="95"/>
      <c r="B83" s="109" t="s">
        <v>79</v>
      </c>
      <c r="C83" s="94"/>
      <c r="E83" s="94"/>
      <c r="F83" s="94"/>
      <c r="G83" s="94"/>
      <c r="H83" s="95"/>
      <c r="I83" s="94"/>
    </row>
    <row r="84" spans="1:9" ht="14.55" customHeight="1" x14ac:dyDescent="0.3">
      <c r="A84" s="95"/>
      <c r="B84" s="99" t="s">
        <v>78</v>
      </c>
      <c r="C84" s="94"/>
      <c r="D84" s="94"/>
      <c r="E84" s="94"/>
      <c r="F84" s="94"/>
      <c r="G84" s="94"/>
      <c r="H84" s="95"/>
      <c r="I84" s="94"/>
    </row>
    <row r="85" spans="1:9" ht="14.55" customHeight="1" x14ac:dyDescent="0.3">
      <c r="A85" s="95"/>
      <c r="B85" s="109" t="s">
        <v>91</v>
      </c>
      <c r="C85" s="94"/>
      <c r="D85" s="94"/>
      <c r="E85" s="94"/>
      <c r="F85" s="94"/>
      <c r="G85" s="94"/>
      <c r="H85" s="95"/>
      <c r="I85" s="94"/>
    </row>
    <row r="86" spans="1:9" ht="14.55" customHeight="1" x14ac:dyDescent="0.3">
      <c r="A86" s="95"/>
      <c r="B86" s="99" t="s">
        <v>104</v>
      </c>
      <c r="C86" s="94"/>
      <c r="D86" s="94"/>
      <c r="E86" s="94"/>
      <c r="F86" s="94"/>
      <c r="G86" s="94"/>
      <c r="H86" s="95"/>
      <c r="I86" s="94"/>
    </row>
    <row r="87" spans="1:9" ht="14.55" customHeight="1" x14ac:dyDescent="0.3">
      <c r="A87" s="95"/>
      <c r="B87" s="109"/>
      <c r="C87" s="94"/>
      <c r="D87" s="94"/>
      <c r="E87" s="94"/>
      <c r="F87" s="94"/>
      <c r="G87" s="94"/>
      <c r="H87" s="95"/>
      <c r="I87" s="94"/>
    </row>
    <row r="88" spans="1:9" ht="14.55" customHeight="1" x14ac:dyDescent="0.3">
      <c r="A88" s="95"/>
      <c r="B88" s="109" t="s">
        <v>80</v>
      </c>
      <c r="C88" s="94"/>
      <c r="D88" s="94"/>
      <c r="E88" s="94"/>
      <c r="F88" s="94"/>
      <c r="G88" s="94"/>
      <c r="H88" s="95"/>
      <c r="I88" s="94"/>
    </row>
    <row r="89" spans="1:9" ht="14.55" customHeight="1" x14ac:dyDescent="0.3">
      <c r="A89" s="95"/>
      <c r="B89" s="109" t="s">
        <v>83</v>
      </c>
      <c r="C89" s="94"/>
      <c r="D89" s="94"/>
      <c r="E89" s="94"/>
      <c r="F89" s="94"/>
      <c r="G89" s="94"/>
      <c r="H89" s="95"/>
      <c r="I89" s="94"/>
    </row>
    <row r="90" spans="1:9" ht="14.55" customHeight="1" x14ac:dyDescent="0.3">
      <c r="A90" s="95"/>
      <c r="B90" s="109" t="s">
        <v>81</v>
      </c>
      <c r="C90" s="94"/>
      <c r="D90" s="94"/>
      <c r="E90" s="94"/>
      <c r="F90" s="94"/>
      <c r="G90" s="94"/>
      <c r="H90" s="95"/>
      <c r="I90" s="94"/>
    </row>
    <row r="91" spans="1:9" ht="14.55" customHeight="1" x14ac:dyDescent="0.3">
      <c r="A91" s="95"/>
      <c r="B91" s="109" t="s">
        <v>92</v>
      </c>
      <c r="C91" s="94"/>
      <c r="D91" s="94"/>
      <c r="E91" s="94"/>
      <c r="F91" s="94"/>
      <c r="G91" s="94"/>
      <c r="H91" s="95"/>
      <c r="I91" s="94"/>
    </row>
    <row r="92" spans="1:9" ht="14.55" customHeight="1" x14ac:dyDescent="0.3">
      <c r="A92" s="95"/>
      <c r="B92" s="109" t="s">
        <v>82</v>
      </c>
      <c r="C92" s="94"/>
      <c r="D92" s="94"/>
      <c r="E92" s="94"/>
      <c r="F92" s="94"/>
      <c r="G92" s="94"/>
      <c r="H92" s="95"/>
      <c r="I92" s="94"/>
    </row>
    <row r="93" spans="1:9" ht="14.55" customHeight="1" x14ac:dyDescent="0.3">
      <c r="A93" s="95"/>
      <c r="B93" s="109" t="s">
        <v>95</v>
      </c>
      <c r="C93" s="94"/>
      <c r="D93" s="94"/>
      <c r="E93" s="94"/>
      <c r="F93" s="94"/>
      <c r="G93" s="94"/>
      <c r="H93" s="95"/>
      <c r="I93" s="94"/>
    </row>
    <row r="94" spans="1:9" ht="14.55" customHeight="1" x14ac:dyDescent="0.3">
      <c r="A94" s="95"/>
      <c r="B94" s="109" t="s">
        <v>86</v>
      </c>
      <c r="C94" s="94"/>
      <c r="D94" s="94"/>
      <c r="E94" s="94"/>
      <c r="F94" s="94"/>
      <c r="G94" s="94"/>
      <c r="H94" s="95"/>
      <c r="I94" s="94"/>
    </row>
    <row r="95" spans="1:9" ht="14.55" customHeight="1" x14ac:dyDescent="0.3">
      <c r="A95" s="95"/>
      <c r="B95" s="144" t="s">
        <v>85</v>
      </c>
      <c r="C95" s="94"/>
      <c r="D95" s="143"/>
      <c r="E95" s="94"/>
      <c r="F95" s="94"/>
      <c r="G95" s="94"/>
      <c r="H95" s="95"/>
      <c r="I95" s="94"/>
    </row>
    <row r="96" spans="1:9" ht="14.55" customHeight="1" x14ac:dyDescent="0.3">
      <c r="A96" s="95"/>
      <c r="B96" s="109" t="s">
        <v>84</v>
      </c>
      <c r="C96" s="94"/>
      <c r="D96" s="94"/>
      <c r="E96" s="94"/>
      <c r="F96" s="94"/>
      <c r="G96" s="94"/>
      <c r="H96" s="95"/>
      <c r="I96" s="94"/>
    </row>
    <row r="97" spans="1:9" ht="14.55" customHeight="1" x14ac:dyDescent="0.3">
      <c r="A97" s="95"/>
      <c r="B97" s="109" t="s">
        <v>98</v>
      </c>
      <c r="C97" s="94"/>
      <c r="D97" s="94"/>
      <c r="E97" s="94"/>
      <c r="F97" s="94"/>
      <c r="G97" s="94"/>
      <c r="H97" s="95"/>
      <c r="I97" s="94"/>
    </row>
    <row r="98" spans="1:9" ht="14.55" customHeight="1" x14ac:dyDescent="0.3">
      <c r="A98" s="95"/>
      <c r="B98" s="109" t="s">
        <v>99</v>
      </c>
      <c r="C98" s="94"/>
      <c r="D98" s="94"/>
      <c r="E98" s="94"/>
      <c r="F98" s="94"/>
      <c r="G98" s="94"/>
      <c r="H98" s="95"/>
      <c r="I98" s="94"/>
    </row>
    <row r="99" spans="1:9" ht="14.55" customHeight="1" x14ac:dyDescent="0.3">
      <c r="A99" s="95"/>
      <c r="B99" s="109" t="s">
        <v>100</v>
      </c>
      <c r="C99" s="94"/>
      <c r="D99" s="94"/>
      <c r="E99" s="94"/>
      <c r="F99" s="94"/>
      <c r="G99" s="94"/>
      <c r="H99" s="95"/>
      <c r="I99" s="94"/>
    </row>
    <row r="100" spans="1:9" ht="14.55" customHeight="1" x14ac:dyDescent="0.3">
      <c r="A100" s="95"/>
      <c r="B100" s="109" t="s">
        <v>96</v>
      </c>
      <c r="C100" s="94"/>
      <c r="D100" s="94"/>
      <c r="E100" s="94"/>
      <c r="F100" s="94"/>
      <c r="G100" s="94"/>
      <c r="H100" s="95"/>
      <c r="I100" s="94"/>
    </row>
    <row r="101" spans="1:9" ht="14.55" customHeight="1" x14ac:dyDescent="0.3">
      <c r="A101" s="95"/>
      <c r="B101" s="99"/>
      <c r="C101" s="94"/>
      <c r="D101" s="94"/>
      <c r="E101" s="94"/>
      <c r="F101" s="94"/>
      <c r="G101" s="94"/>
      <c r="H101" s="95"/>
      <c r="I101" s="94"/>
    </row>
    <row r="102" spans="1:9" ht="16.95" customHeight="1" x14ac:dyDescent="0.3">
      <c r="A102" s="95"/>
      <c r="B102" s="297" t="s">
        <v>50</v>
      </c>
      <c r="C102" s="298"/>
      <c r="D102" s="298"/>
      <c r="E102" s="298"/>
      <c r="F102" s="298"/>
      <c r="G102" s="299"/>
      <c r="H102" s="110"/>
      <c r="I102" s="94"/>
    </row>
    <row r="103" spans="1:9" ht="16.95" customHeight="1" x14ac:dyDescent="0.3">
      <c r="A103" s="95"/>
      <c r="B103" s="300" t="s">
        <v>51</v>
      </c>
      <c r="C103" s="301"/>
      <c r="D103" s="301"/>
      <c r="E103" s="301"/>
      <c r="F103" s="301"/>
      <c r="G103" s="302"/>
      <c r="H103" s="111"/>
      <c r="I103" s="94"/>
    </row>
    <row r="104" spans="1:9" ht="16.95" customHeight="1" x14ac:dyDescent="0.3">
      <c r="A104" s="95"/>
      <c r="B104" s="303" t="s">
        <v>52</v>
      </c>
      <c r="C104" s="304"/>
      <c r="D104" s="304"/>
      <c r="E104" s="304"/>
      <c r="F104" s="304"/>
      <c r="G104" s="305"/>
      <c r="H104" s="112"/>
      <c r="I104" s="94"/>
    </row>
    <row r="105" spans="1:9" ht="16.95" customHeight="1" x14ac:dyDescent="0.3">
      <c r="A105" s="142"/>
      <c r="B105" s="288" t="s">
        <v>53</v>
      </c>
      <c r="C105" s="289"/>
      <c r="D105" s="289"/>
      <c r="E105" s="289"/>
      <c r="F105" s="289"/>
      <c r="G105" s="290"/>
      <c r="H105" s="112"/>
    </row>
    <row r="106" spans="1:9" ht="15.15" thickBot="1" x14ac:dyDescent="0.35">
      <c r="A106" s="142"/>
      <c r="B106" s="113"/>
      <c r="C106" s="114"/>
      <c r="D106" s="114"/>
      <c r="E106" s="114"/>
      <c r="F106" s="114"/>
      <c r="G106" s="114"/>
      <c r="H106" s="115"/>
    </row>
    <row r="107" spans="1:9" ht="15.15" thickTop="1" x14ac:dyDescent="0.3"/>
  </sheetData>
  <sheetProtection algorithmName="SHA-512" hashValue="Dtaq/0N1xXFBRXy2JZ0++KKUtgrmebCbDkpAtPtNmZ6T7MzjLkcE6yFcuB5POqXE59n9hrYcLslSL7WMP+f0sA==" saltValue="XtPp43UhLwObHVFB8cW14A==" spinCount="100000" sheet="1" objects="1" scenarios="1"/>
  <mergeCells count="113">
    <mergeCell ref="AB2:AE2"/>
    <mergeCell ref="AB3:AE3"/>
    <mergeCell ref="C5:F5"/>
    <mergeCell ref="H5:K5"/>
    <mergeCell ref="M5:P5"/>
    <mergeCell ref="R5:U5"/>
    <mergeCell ref="W5:Z5"/>
    <mergeCell ref="AB5:AE5"/>
    <mergeCell ref="C7:D7"/>
    <mergeCell ref="H7:I7"/>
    <mergeCell ref="M7:N7"/>
    <mergeCell ref="R7:S7"/>
    <mergeCell ref="W7:X7"/>
    <mergeCell ref="AB7:AC7"/>
    <mergeCell ref="C6:F6"/>
    <mergeCell ref="H6:K6"/>
    <mergeCell ref="M6:P6"/>
    <mergeCell ref="R6:U6"/>
    <mergeCell ref="W6:Z6"/>
    <mergeCell ref="AB6:AE6"/>
    <mergeCell ref="C9:D9"/>
    <mergeCell ref="H9:I9"/>
    <mergeCell ref="M9:N9"/>
    <mergeCell ref="R9:S9"/>
    <mergeCell ref="W9:X9"/>
    <mergeCell ref="AB9:AC9"/>
    <mergeCell ref="C8:D8"/>
    <mergeCell ref="H8:I8"/>
    <mergeCell ref="M8:N8"/>
    <mergeCell ref="R8:S8"/>
    <mergeCell ref="W8:X8"/>
    <mergeCell ref="AB8:AC8"/>
    <mergeCell ref="C11:D11"/>
    <mergeCell ref="H11:I11"/>
    <mergeCell ref="M11:N11"/>
    <mergeCell ref="R11:S11"/>
    <mergeCell ref="W11:X11"/>
    <mergeCell ref="AB11:AC11"/>
    <mergeCell ref="C10:D10"/>
    <mergeCell ref="H10:I10"/>
    <mergeCell ref="M10:N10"/>
    <mergeCell ref="R10:S10"/>
    <mergeCell ref="W10:X10"/>
    <mergeCell ref="AB10:AC10"/>
    <mergeCell ref="C13:D13"/>
    <mergeCell ref="H13:I13"/>
    <mergeCell ref="M13:N13"/>
    <mergeCell ref="R13:S13"/>
    <mergeCell ref="W13:X13"/>
    <mergeCell ref="AB13:AC13"/>
    <mergeCell ref="C12:D12"/>
    <mergeCell ref="H12:I12"/>
    <mergeCell ref="M12:N12"/>
    <mergeCell ref="R12:S12"/>
    <mergeCell ref="W12:X12"/>
    <mergeCell ref="AB12:AC12"/>
    <mergeCell ref="C15:D15"/>
    <mergeCell ref="H15:I15"/>
    <mergeCell ref="M15:N15"/>
    <mergeCell ref="R15:S15"/>
    <mergeCell ref="W15:X15"/>
    <mergeCell ref="AB15:AC15"/>
    <mergeCell ref="C14:D14"/>
    <mergeCell ref="H14:I14"/>
    <mergeCell ref="M14:N14"/>
    <mergeCell ref="R14:S14"/>
    <mergeCell ref="W14:X14"/>
    <mergeCell ref="AB14:AC14"/>
    <mergeCell ref="W17:X17"/>
    <mergeCell ref="AB17:AC17"/>
    <mergeCell ref="R18:S18"/>
    <mergeCell ref="C16:D16"/>
    <mergeCell ref="H16:I16"/>
    <mergeCell ref="M16:N16"/>
    <mergeCell ref="R16:S16"/>
    <mergeCell ref="W16:X16"/>
    <mergeCell ref="AB16:AC16"/>
    <mergeCell ref="R19:S19"/>
    <mergeCell ref="H21:I21"/>
    <mergeCell ref="C22:F22"/>
    <mergeCell ref="H22:K22"/>
    <mergeCell ref="M22:P22"/>
    <mergeCell ref="R22:U22"/>
    <mergeCell ref="C17:D17"/>
    <mergeCell ref="H17:I17"/>
    <mergeCell ref="R17:S17"/>
    <mergeCell ref="C24:D24"/>
    <mergeCell ref="H24:I24"/>
    <mergeCell ref="M24:N24"/>
    <mergeCell ref="R24:S24"/>
    <mergeCell ref="W24:X24"/>
    <mergeCell ref="AB24:AC24"/>
    <mergeCell ref="W22:Z22"/>
    <mergeCell ref="AB22:AE22"/>
    <mergeCell ref="C23:D23"/>
    <mergeCell ref="H23:I23"/>
    <mergeCell ref="M23:N23"/>
    <mergeCell ref="R23:S23"/>
    <mergeCell ref="W23:X23"/>
    <mergeCell ref="AB23:AC23"/>
    <mergeCell ref="B105:G105"/>
    <mergeCell ref="C45:G45"/>
    <mergeCell ref="B52:H52"/>
    <mergeCell ref="B59:H59"/>
    <mergeCell ref="B102:G102"/>
    <mergeCell ref="B103:G103"/>
    <mergeCell ref="B104:G104"/>
    <mergeCell ref="B27:H27"/>
    <mergeCell ref="B28:H28"/>
    <mergeCell ref="C29:G29"/>
    <mergeCell ref="B36:H36"/>
    <mergeCell ref="C37:G37"/>
    <mergeCell ref="B44:H44"/>
  </mergeCells>
  <conditionalFormatting sqref="C7:C17 H7:I17 M7:M16 R7:R20 W7:W12 W16:W17 W14">
    <cfRule type="expression" dxfId="27" priority="8">
      <formula>OR(WEEKDAY(F7)=1,WEEKDAY(F7)=7)</formula>
    </cfRule>
  </conditionalFormatting>
  <conditionalFormatting sqref="E7:E17 J7:J17 O7:O16 T7:T20 Y7:Y12 Y16:Y17 Y14">
    <cfRule type="expression" dxfId="26" priority="7">
      <formula>OR(WEEKDAY(F7)=1,WEEKDAY(F7)=7)</formula>
    </cfRule>
  </conditionalFormatting>
  <conditionalFormatting sqref="F7:F17 K7:K17 P7:P16 U7:U20 Z7:Z12 Z16:Z17 Z14">
    <cfRule type="expression" dxfId="25" priority="6">
      <formula>OR(WEEKDAY(F7)=1,WEEKDAY(F7)=7)</formula>
    </cfRule>
  </conditionalFormatting>
  <conditionalFormatting sqref="AB7:AB17">
    <cfRule type="expression" dxfId="24" priority="5">
      <formula>OR(WEEKDAY(AE7)=1,WEEKDAY(AE7)=7)</formula>
    </cfRule>
  </conditionalFormatting>
  <conditionalFormatting sqref="AD7:AD17">
    <cfRule type="expression" dxfId="23" priority="4">
      <formula>OR(WEEKDAY(AE7)=1,WEEKDAY(AE7)=7)</formula>
    </cfRule>
  </conditionalFormatting>
  <conditionalFormatting sqref="AE7:AE17">
    <cfRule type="expression" dxfId="22" priority="3">
      <formula>OR(WEEKDAY(AE7)=1,WEEKDAY(AE7)=7)</formula>
    </cfRule>
  </conditionalFormatting>
  <conditionalFormatting sqref="E23:E24 J23:J24 O23:O24 T23:T24 Y23:Y24 AD23:AD24">
    <cfRule type="expression" dxfId="21" priority="2">
      <formula>OR(WEEKDAY(F7)=1,WEEKDAY(XEK7)=7)</formula>
    </cfRule>
  </conditionalFormatting>
  <conditionalFormatting sqref="F23:F24 K23:K24 P23:P24 U23:U24 Z23:Z24 AE23:AE24">
    <cfRule type="expression" dxfId="20" priority="1">
      <formula>OR(WEEKDAY(XEK23)=1,WEEKDAY(XEK23)=7)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5E05-4F0E-4707-9459-7FDAAA8DA671}">
  <sheetPr>
    <tabColor rgb="FFFF5050"/>
  </sheetPr>
  <dimension ref="A1:AC41"/>
  <sheetViews>
    <sheetView workbookViewId="0">
      <selection activeCell="D3" sqref="D3:H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9" ht="7.3" customHeight="1" thickBot="1" x14ac:dyDescent="0.35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29" ht="8.5" customHeight="1" thickBot="1" x14ac:dyDescent="0.35">
      <c r="A2" s="2"/>
      <c r="B2" s="3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6"/>
      <c r="AA2" s="214"/>
    </row>
    <row r="3" spans="1:29" ht="21.8" customHeight="1" thickTop="1" thickBot="1" x14ac:dyDescent="0.35">
      <c r="A3" s="7"/>
      <c r="B3" s="8"/>
      <c r="C3" s="9"/>
      <c r="D3" s="213" t="str">
        <f>IF($I$3,"Année bissextile","")</f>
        <v/>
      </c>
      <c r="E3" s="213"/>
      <c r="F3" s="213"/>
      <c r="G3" s="213"/>
      <c r="H3" s="213"/>
      <c r="I3" s="149" t="b">
        <f>DAY(DATE(YEAR(K7),3,0))=29</f>
        <v>0</v>
      </c>
      <c r="J3" s="11"/>
      <c r="K3" s="222">
        <v>2019</v>
      </c>
      <c r="L3" s="223"/>
      <c r="M3" s="223"/>
      <c r="N3" s="223"/>
      <c r="O3" s="223"/>
      <c r="P3" s="223"/>
      <c r="Q3" s="223"/>
      <c r="R3" s="12"/>
      <c r="S3" s="13"/>
      <c r="T3" s="224"/>
      <c r="U3" s="224"/>
      <c r="V3" s="224"/>
      <c r="W3" s="224"/>
      <c r="X3" s="224"/>
      <c r="Y3" s="10"/>
      <c r="Z3" s="14"/>
      <c r="AA3" s="214"/>
    </row>
    <row r="4" spans="1:29" ht="12.1" customHeight="1" thickTop="1" thickBot="1" x14ac:dyDescent="0.35">
      <c r="A4" s="15"/>
      <c r="B4" s="8"/>
      <c r="C4" s="215">
        <f>DATE(Anopri,1,1)</f>
        <v>43466</v>
      </c>
      <c r="D4" s="215"/>
      <c r="E4" s="215"/>
      <c r="F4" s="215"/>
      <c r="G4" s="215"/>
      <c r="H4" s="215"/>
      <c r="I4" s="215"/>
      <c r="J4" s="15"/>
      <c r="K4" s="225">
        <f>DATE(Anopri,2,1)</f>
        <v>43497</v>
      </c>
      <c r="L4" s="225"/>
      <c r="M4" s="225"/>
      <c r="N4" s="225"/>
      <c r="O4" s="225"/>
      <c r="P4" s="225"/>
      <c r="Q4" s="225"/>
      <c r="R4" s="16"/>
      <c r="S4" s="215">
        <f>DATE(Anopri,3,1)</f>
        <v>43525</v>
      </c>
      <c r="T4" s="215"/>
      <c r="U4" s="215"/>
      <c r="V4" s="215"/>
      <c r="W4" s="215"/>
      <c r="X4" s="215"/>
      <c r="Y4" s="215"/>
      <c r="Z4" s="7"/>
      <c r="AA4" s="214"/>
    </row>
    <row r="5" spans="1:29" s="20" customFormat="1" ht="20.6" customHeight="1" thickBot="1" x14ac:dyDescent="0.35">
      <c r="A5" s="10"/>
      <c r="B5" s="17"/>
      <c r="C5" s="216" t="str">
        <f>CHOOSE(MONTH(C4),"JANVIER")</f>
        <v>JANVIER</v>
      </c>
      <c r="D5" s="217"/>
      <c r="E5" s="217"/>
      <c r="F5" s="217"/>
      <c r="G5" s="217"/>
      <c r="H5" s="217"/>
      <c r="I5" s="218"/>
      <c r="J5" s="18" t="s">
        <v>0</v>
      </c>
      <c r="K5" s="216" t="str">
        <f>CHOOSE(MONTH(C4),"FÉVRIER")</f>
        <v>FÉVRIER</v>
      </c>
      <c r="L5" s="217"/>
      <c r="M5" s="217"/>
      <c r="N5" s="217"/>
      <c r="O5" s="217"/>
      <c r="P5" s="217"/>
      <c r="Q5" s="218"/>
      <c r="R5" s="10"/>
      <c r="S5" s="216" t="str">
        <f>CHOOSE(MONTH(C4),"MARS")</f>
        <v>MARS</v>
      </c>
      <c r="T5" s="217"/>
      <c r="U5" s="217"/>
      <c r="V5" s="217"/>
      <c r="W5" s="217"/>
      <c r="X5" s="217"/>
      <c r="Y5" s="218"/>
      <c r="Z5" s="19"/>
      <c r="AA5" s="214"/>
    </row>
    <row r="6" spans="1:29" s="20" customFormat="1" ht="16.350000000000001" customHeight="1" thickBot="1" x14ac:dyDescent="0.35">
      <c r="A6" s="10"/>
      <c r="B6" s="17"/>
      <c r="C6" s="21" t="str">
        <f t="shared" ref="C6:I6" si="0">CHOOSE(COLUMN(A$1)+(Débutsempri="Lundi"),"Di","Lu","Ma","Me","Je","Ve","Sa","Di")</f>
        <v>Lu</v>
      </c>
      <c r="D6" s="22" t="str">
        <f t="shared" si="0"/>
        <v>Ma</v>
      </c>
      <c r="E6" s="23" t="str">
        <f t="shared" si="0"/>
        <v>Me</v>
      </c>
      <c r="F6" s="23" t="str">
        <f t="shared" si="0"/>
        <v>Je</v>
      </c>
      <c r="G6" s="24" t="str">
        <f t="shared" si="0"/>
        <v>Ve</v>
      </c>
      <c r="H6" s="25" t="str">
        <f t="shared" si="0"/>
        <v>Sa</v>
      </c>
      <c r="I6" s="26" t="str">
        <f t="shared" si="0"/>
        <v>Di</v>
      </c>
      <c r="J6" s="27"/>
      <c r="K6" s="21" t="str">
        <f t="shared" ref="K6:Q6" si="1">CHOOSE(COLUMN(A$1)+(Débutsempri="Lundi"),"Di","Lu","Ma","Me","Je","Ve","Sa","Di")</f>
        <v>Lu</v>
      </c>
      <c r="L6" s="22" t="str">
        <f t="shared" si="1"/>
        <v>Ma</v>
      </c>
      <c r="M6" s="22" t="str">
        <f t="shared" si="1"/>
        <v>Me</v>
      </c>
      <c r="N6" s="23" t="str">
        <f t="shared" si="1"/>
        <v>Je</v>
      </c>
      <c r="O6" s="24" t="str">
        <f t="shared" si="1"/>
        <v>Ve</v>
      </c>
      <c r="P6" s="28" t="str">
        <f t="shared" si="1"/>
        <v>Sa</v>
      </c>
      <c r="Q6" s="29" t="str">
        <f t="shared" si="1"/>
        <v>Di</v>
      </c>
      <c r="R6" s="30"/>
      <c r="S6" s="21" t="str">
        <f t="shared" ref="S6:Y6" si="2">CHOOSE(COLUMN(A$1)+(Débutsempri="Lundi"),"Di","Lu","Ma","Me","Je","Ve","Sa","Di")</f>
        <v>Lu</v>
      </c>
      <c r="T6" s="21" t="str">
        <f t="shared" si="2"/>
        <v>Ma</v>
      </c>
      <c r="U6" s="21" t="str">
        <f t="shared" si="2"/>
        <v>Me</v>
      </c>
      <c r="V6" s="21" t="str">
        <f t="shared" si="2"/>
        <v>Je</v>
      </c>
      <c r="W6" s="21" t="str">
        <f t="shared" si="2"/>
        <v>Ve</v>
      </c>
      <c r="X6" s="31" t="str">
        <f t="shared" si="2"/>
        <v>Sa</v>
      </c>
      <c r="Y6" s="32" t="str">
        <f t="shared" si="2"/>
        <v>Di</v>
      </c>
      <c r="Z6" s="33"/>
      <c r="AA6" s="214"/>
      <c r="AB6" s="20" t="s">
        <v>1</v>
      </c>
    </row>
    <row r="7" spans="1:29" ht="20.6" customHeight="1" x14ac:dyDescent="0.3">
      <c r="A7" s="15">
        <v>1</v>
      </c>
      <c r="B7" s="34"/>
      <c r="C7" s="148">
        <f>DATE(Anopri,MONTH($C$4),1)-WEEKDAY(DATE(Anopri,MONTH($C$4),1),(Débutsempri="Lundi")+1)+$A7*7-6</f>
        <v>43465</v>
      </c>
      <c r="D7" s="36">
        <f t="shared" ref="D7:D12" si="3">DATE(Anopri,MONTH($C$4),1)-WEEKDAY(DATE(Anopri,MONTH($C$4),1),(Débutsempri="Lundi")+1)+$A7*7-5</f>
        <v>43466</v>
      </c>
      <c r="E7" s="36">
        <f t="shared" ref="E7:E12" si="4">DATE(Anopri,MONTH($C$4),1)-WEEKDAY(DATE(Anopri,MONTH($C$4),1),(Débutsempri="Lundi")+1)+$A7*7-4</f>
        <v>43467</v>
      </c>
      <c r="F7" s="36">
        <f t="shared" ref="F7:F12" si="5">DATE(Anopri,MONTH($C$4),1)-WEEKDAY(DATE(Anopri,MONTH($C$4),1),(Débutsempri="Lundi")+1)+$A7*7-3</f>
        <v>43468</v>
      </c>
      <c r="G7" s="36">
        <f t="shared" ref="G7:G12" si="6">DATE(Anopri,MONTH($C$4),1)-WEEKDAY(DATE(Anopri,MONTH($C$4),1),(Débutsempri="Lundi")+1)+$A7*7-2</f>
        <v>43469</v>
      </c>
      <c r="H7" s="37">
        <f t="shared" ref="H7:H12" si="7">DATE(Anopri,MONTH($C$4),1)-WEEKDAY(DATE(Anopri,MONTH($C$4),1),(Débutsempri="Lundi")+1)+$A7*7-1</f>
        <v>43470</v>
      </c>
      <c r="I7" s="38">
        <f t="shared" ref="I7:I12" si="8">DATE(Anopri,MONTH($C$4),1)-WEEKDAY(DATE(Anopri,MONTH($C$4),1),(Débutsempri="Lundi")+1)+$A7*7</f>
        <v>43471</v>
      </c>
      <c r="J7" s="15"/>
      <c r="K7" s="35">
        <f t="shared" ref="K7:K12" si="9">DATE(Anopri,MONTH($K$4),1)-WEEKDAY(DATE(Anopri,MONTH($K$4),1),(Débutsempri="Lundi")+1)+$A7*7-6</f>
        <v>43493</v>
      </c>
      <c r="L7" s="36">
        <f t="shared" ref="L7:L12" si="10">DATE(Anopri,MONTH($K$4),1)-WEEKDAY(DATE(Anopri,MONTH($K$4),1),(Débutsempri="Lundi")+1)+$A7*7-5</f>
        <v>43494</v>
      </c>
      <c r="M7" s="36">
        <f t="shared" ref="M7:M12" si="11">DATE(Anopri,MONTH($K$4),1)-WEEKDAY(DATE(Anopri,MONTH($K$4),1),(Débutsempri="Lundi")+1)+$A7*7-4</f>
        <v>43495</v>
      </c>
      <c r="N7" s="36">
        <f t="shared" ref="N7:N12" si="12">DATE(Anopri,MONTH($K$4),1)-WEEKDAY(DATE(Anopri,MONTH($K$4),1),(Débutsempri="Lundi")+1)+$A7*7-3</f>
        <v>43496</v>
      </c>
      <c r="O7" s="36">
        <f t="shared" ref="O7:O12" si="13">DATE(Anopri,MONTH($K$4),1)-WEEKDAY(DATE(Anopri,MONTH($K$4),1),(Débutsempri="Lundi")+1)+$A7*7-2</f>
        <v>43497</v>
      </c>
      <c r="P7" s="37">
        <f t="shared" ref="P7:P12" si="14">DATE(Anopri,MONTH($K$4),1)-WEEKDAY(DATE(Anopri,MONTH($K$4),1),(Débutsempri="Lundi")+1)+$A7*7-1</f>
        <v>43498</v>
      </c>
      <c r="Q7" s="38">
        <f t="shared" ref="Q7:Q12" si="15">DATE(Anopri,MONTH($K$4),1)-WEEKDAY(DATE(Anopri,MONTH($K$4),1),(Débutsempri="Lundi")+1)+$A7*7</f>
        <v>43499</v>
      </c>
      <c r="R7" s="15"/>
      <c r="S7" s="35">
        <f t="shared" ref="S7:S12" si="16">DATE(Anopri,MONTH($S$4),1)-WEEKDAY(DATE(Anopri,MONTH($S$4),1),(Débutsempri="Lundi")+1)+$A7*7-6</f>
        <v>43521</v>
      </c>
      <c r="T7" s="36">
        <f t="shared" ref="T7:T12" si="17">DATE(Anopri,MONTH($S$4),1)-WEEKDAY(DATE(Anopri,MONTH($S$4),1),(Débutsempri="Lundi")+1)+$A7*7-5</f>
        <v>43522</v>
      </c>
      <c r="U7" s="36">
        <f t="shared" ref="U7:U12" si="18">DATE(Anopri,MONTH($S$4),1)-WEEKDAY(DATE(Anopri,MONTH($S$4),1),(Débutsempri="Lundi")+1)+$A7*7-4</f>
        <v>43523</v>
      </c>
      <c r="V7" s="36">
        <f t="shared" ref="V7:V12" si="19">DATE(Anopri,MONTH($S$4),1)-WEEKDAY(DATE(Anopri,MONTH($S$4),1),(Débutsempri="Lundi")+1)+$A7*7-3</f>
        <v>43524</v>
      </c>
      <c r="W7" s="36">
        <f t="shared" ref="W7:W12" si="20">DATE(Anopri,MONTH($S$4),1)-WEEKDAY(DATE(Anopri,MONTH($S$4),1),(Débutsempri="Lundi")+1)+$A7*7-2</f>
        <v>43525</v>
      </c>
      <c r="X7" s="37">
        <f t="shared" ref="X7:X12" si="21">DATE(Anopri,MONTH($S$4),1)-WEEKDAY(DATE(Anopri,MONTH($S$4),1),(Débutsempri="Lundi")+1)+$A7*7-1</f>
        <v>43526</v>
      </c>
      <c r="Y7" s="38">
        <f t="shared" ref="Y7:Y12" si="22">DATE(Anopri,MONTH($S$4),1)-WEEKDAY(DATE(Anopri,MONTH($S$4),1),(Débutsempri="Lundi")+1)+$A7*7</f>
        <v>43527</v>
      </c>
      <c r="Z7" s="14"/>
      <c r="AA7" s="214"/>
      <c r="AB7" s="1" t="s">
        <v>1</v>
      </c>
    </row>
    <row r="8" spans="1:29" ht="20.6" customHeight="1" x14ac:dyDescent="0.3">
      <c r="A8" s="15">
        <v>2</v>
      </c>
      <c r="B8" s="34"/>
      <c r="C8" s="39">
        <f>DATE(Anopri,MONTH($C$4),1)-WEEKDAY(DATE(Anopri,MONTH($C$4),1),(Débutsempri="Lundi")+1)+$A8*7-6</f>
        <v>43472</v>
      </c>
      <c r="D8" s="40">
        <f t="shared" si="3"/>
        <v>43473</v>
      </c>
      <c r="E8" s="40">
        <f t="shared" si="4"/>
        <v>43474</v>
      </c>
      <c r="F8" s="40">
        <f t="shared" si="5"/>
        <v>43475</v>
      </c>
      <c r="G8" s="40">
        <f t="shared" si="6"/>
        <v>43476</v>
      </c>
      <c r="H8" s="41">
        <f t="shared" si="7"/>
        <v>43477</v>
      </c>
      <c r="I8" s="42">
        <f t="shared" si="8"/>
        <v>43478</v>
      </c>
      <c r="J8" s="15"/>
      <c r="K8" s="39">
        <f t="shared" si="9"/>
        <v>43500</v>
      </c>
      <c r="L8" s="40">
        <f t="shared" si="10"/>
        <v>43501</v>
      </c>
      <c r="M8" s="40">
        <f t="shared" si="11"/>
        <v>43502</v>
      </c>
      <c r="N8" s="40">
        <f t="shared" si="12"/>
        <v>43503</v>
      </c>
      <c r="O8" s="40">
        <f t="shared" si="13"/>
        <v>43504</v>
      </c>
      <c r="P8" s="41">
        <f t="shared" si="14"/>
        <v>43505</v>
      </c>
      <c r="Q8" s="42">
        <f t="shared" si="15"/>
        <v>43506</v>
      </c>
      <c r="R8" s="15"/>
      <c r="S8" s="39">
        <f t="shared" si="16"/>
        <v>43528</v>
      </c>
      <c r="T8" s="40">
        <f t="shared" si="17"/>
        <v>43529</v>
      </c>
      <c r="U8" s="40">
        <f t="shared" si="18"/>
        <v>43530</v>
      </c>
      <c r="V8" s="40">
        <f t="shared" si="19"/>
        <v>43531</v>
      </c>
      <c r="W8" s="40">
        <f t="shared" si="20"/>
        <v>43532</v>
      </c>
      <c r="X8" s="41">
        <f t="shared" si="21"/>
        <v>43533</v>
      </c>
      <c r="Y8" s="42">
        <f t="shared" si="22"/>
        <v>43534</v>
      </c>
      <c r="Z8" s="14"/>
      <c r="AA8" s="214"/>
      <c r="AC8" s="73"/>
    </row>
    <row r="9" spans="1:29" ht="20.6" customHeight="1" x14ac:dyDescent="0.3">
      <c r="A9" s="15">
        <v>3</v>
      </c>
      <c r="B9" s="34"/>
      <c r="C9" s="39">
        <f t="shared" ref="C9:C12" si="23">DATE(Anopri,MONTH($C$4),1)-WEEKDAY(DATE(Anopri,MONTH($C$4),1),(Débutsempri="Lundi")+1)+$A9*7-6</f>
        <v>43479</v>
      </c>
      <c r="D9" s="40">
        <f t="shared" si="3"/>
        <v>43480</v>
      </c>
      <c r="E9" s="40">
        <f t="shared" si="4"/>
        <v>43481</v>
      </c>
      <c r="F9" s="40">
        <f t="shared" si="5"/>
        <v>43482</v>
      </c>
      <c r="G9" s="40">
        <f t="shared" si="6"/>
        <v>43483</v>
      </c>
      <c r="H9" s="41">
        <f t="shared" si="7"/>
        <v>43484</v>
      </c>
      <c r="I9" s="42">
        <f t="shared" si="8"/>
        <v>43485</v>
      </c>
      <c r="J9" s="15"/>
      <c r="K9" s="39">
        <f t="shared" si="9"/>
        <v>43507</v>
      </c>
      <c r="L9" s="40">
        <f t="shared" si="10"/>
        <v>43508</v>
      </c>
      <c r="M9" s="40">
        <f t="shared" si="11"/>
        <v>43509</v>
      </c>
      <c r="N9" s="40">
        <f t="shared" si="12"/>
        <v>43510</v>
      </c>
      <c r="O9" s="40">
        <f t="shared" si="13"/>
        <v>43511</v>
      </c>
      <c r="P9" s="41">
        <f t="shared" si="14"/>
        <v>43512</v>
      </c>
      <c r="Q9" s="42">
        <f t="shared" si="15"/>
        <v>43513</v>
      </c>
      <c r="R9" s="15"/>
      <c r="S9" s="39">
        <f t="shared" si="16"/>
        <v>43535</v>
      </c>
      <c r="T9" s="40">
        <f t="shared" si="17"/>
        <v>43536</v>
      </c>
      <c r="U9" s="40">
        <f t="shared" si="18"/>
        <v>43537</v>
      </c>
      <c r="V9" s="40">
        <f t="shared" si="19"/>
        <v>43538</v>
      </c>
      <c r="W9" s="40">
        <f t="shared" si="20"/>
        <v>43539</v>
      </c>
      <c r="X9" s="41">
        <f t="shared" si="21"/>
        <v>43540</v>
      </c>
      <c r="Y9" s="42">
        <f t="shared" si="22"/>
        <v>43541</v>
      </c>
      <c r="Z9" s="43"/>
      <c r="AA9" s="214"/>
    </row>
    <row r="10" spans="1:29" ht="20.6" customHeight="1" x14ac:dyDescent="0.3">
      <c r="A10" s="15">
        <v>4</v>
      </c>
      <c r="B10" s="34"/>
      <c r="C10" s="39">
        <f t="shared" si="23"/>
        <v>43486</v>
      </c>
      <c r="D10" s="40">
        <f t="shared" si="3"/>
        <v>43487</v>
      </c>
      <c r="E10" s="40">
        <f t="shared" si="4"/>
        <v>43488</v>
      </c>
      <c r="F10" s="40">
        <f t="shared" si="5"/>
        <v>43489</v>
      </c>
      <c r="G10" s="40">
        <f t="shared" si="6"/>
        <v>43490</v>
      </c>
      <c r="H10" s="41">
        <f t="shared" si="7"/>
        <v>43491</v>
      </c>
      <c r="I10" s="42">
        <f t="shared" si="8"/>
        <v>43492</v>
      </c>
      <c r="J10" s="15"/>
      <c r="K10" s="39">
        <f t="shared" si="9"/>
        <v>43514</v>
      </c>
      <c r="L10" s="40">
        <f t="shared" si="10"/>
        <v>43515</v>
      </c>
      <c r="M10" s="40">
        <f t="shared" si="11"/>
        <v>43516</v>
      </c>
      <c r="N10" s="40">
        <f t="shared" si="12"/>
        <v>43517</v>
      </c>
      <c r="O10" s="40">
        <f t="shared" si="13"/>
        <v>43518</v>
      </c>
      <c r="P10" s="41">
        <f t="shared" si="14"/>
        <v>43519</v>
      </c>
      <c r="Q10" s="42">
        <f t="shared" si="15"/>
        <v>43520</v>
      </c>
      <c r="R10" s="15"/>
      <c r="S10" s="39">
        <f t="shared" si="16"/>
        <v>43542</v>
      </c>
      <c r="T10" s="40">
        <f t="shared" si="17"/>
        <v>43543</v>
      </c>
      <c r="U10" s="40">
        <f t="shared" si="18"/>
        <v>43544</v>
      </c>
      <c r="V10" s="40">
        <f t="shared" si="19"/>
        <v>43545</v>
      </c>
      <c r="W10" s="40">
        <f t="shared" si="20"/>
        <v>43546</v>
      </c>
      <c r="X10" s="41">
        <f t="shared" si="21"/>
        <v>43547</v>
      </c>
      <c r="Y10" s="42">
        <f t="shared" si="22"/>
        <v>43548</v>
      </c>
      <c r="Z10" s="44"/>
      <c r="AA10" s="214"/>
    </row>
    <row r="11" spans="1:29" ht="20.6" customHeight="1" x14ac:dyDescent="0.3">
      <c r="A11" s="15">
        <v>5</v>
      </c>
      <c r="B11" s="34"/>
      <c r="C11" s="39">
        <f t="shared" si="23"/>
        <v>43493</v>
      </c>
      <c r="D11" s="40">
        <f t="shared" si="3"/>
        <v>43494</v>
      </c>
      <c r="E11" s="40">
        <f t="shared" si="4"/>
        <v>43495</v>
      </c>
      <c r="F11" s="40">
        <f t="shared" si="5"/>
        <v>43496</v>
      </c>
      <c r="G11" s="40">
        <f t="shared" si="6"/>
        <v>43497</v>
      </c>
      <c r="H11" s="41">
        <f t="shared" si="7"/>
        <v>43498</v>
      </c>
      <c r="I11" s="42">
        <f t="shared" si="8"/>
        <v>43499</v>
      </c>
      <c r="J11" s="15"/>
      <c r="K11" s="39">
        <f t="shared" si="9"/>
        <v>43521</v>
      </c>
      <c r="L11" s="40">
        <f t="shared" si="10"/>
        <v>43522</v>
      </c>
      <c r="M11" s="40">
        <f t="shared" si="11"/>
        <v>43523</v>
      </c>
      <c r="N11" s="40">
        <f t="shared" si="12"/>
        <v>43524</v>
      </c>
      <c r="O11" s="40">
        <f t="shared" si="13"/>
        <v>43525</v>
      </c>
      <c r="P11" s="41">
        <f t="shared" si="14"/>
        <v>43526</v>
      </c>
      <c r="Q11" s="42">
        <f t="shared" si="15"/>
        <v>43527</v>
      </c>
      <c r="R11" s="15"/>
      <c r="S11" s="39">
        <f t="shared" si="16"/>
        <v>43549</v>
      </c>
      <c r="T11" s="40">
        <f t="shared" si="17"/>
        <v>43550</v>
      </c>
      <c r="U11" s="40">
        <f t="shared" si="18"/>
        <v>43551</v>
      </c>
      <c r="V11" s="40">
        <f t="shared" si="19"/>
        <v>43552</v>
      </c>
      <c r="W11" s="40">
        <f t="shared" si="20"/>
        <v>43553</v>
      </c>
      <c r="X11" s="41">
        <f t="shared" si="21"/>
        <v>43554</v>
      </c>
      <c r="Y11" s="42">
        <f t="shared" si="22"/>
        <v>43555</v>
      </c>
      <c r="Z11" s="44"/>
      <c r="AA11" s="214"/>
    </row>
    <row r="12" spans="1:29" ht="20.6" customHeight="1" thickBot="1" x14ac:dyDescent="0.35">
      <c r="A12" s="15">
        <v>6</v>
      </c>
      <c r="B12" s="34"/>
      <c r="C12" s="45">
        <f t="shared" si="23"/>
        <v>43500</v>
      </c>
      <c r="D12" s="46">
        <f t="shared" si="3"/>
        <v>43501</v>
      </c>
      <c r="E12" s="46">
        <f t="shared" si="4"/>
        <v>43502</v>
      </c>
      <c r="F12" s="46">
        <f t="shared" si="5"/>
        <v>43503</v>
      </c>
      <c r="G12" s="46">
        <f t="shared" si="6"/>
        <v>43504</v>
      </c>
      <c r="H12" s="47">
        <f t="shared" si="7"/>
        <v>43505</v>
      </c>
      <c r="I12" s="48">
        <f t="shared" si="8"/>
        <v>43506</v>
      </c>
      <c r="J12" s="15"/>
      <c r="K12" s="45">
        <f t="shared" si="9"/>
        <v>43528</v>
      </c>
      <c r="L12" s="46">
        <f t="shared" si="10"/>
        <v>43529</v>
      </c>
      <c r="M12" s="46">
        <f t="shared" si="11"/>
        <v>43530</v>
      </c>
      <c r="N12" s="46">
        <f t="shared" si="12"/>
        <v>43531</v>
      </c>
      <c r="O12" s="46">
        <f t="shared" si="13"/>
        <v>43532</v>
      </c>
      <c r="P12" s="47">
        <f t="shared" si="14"/>
        <v>43533</v>
      </c>
      <c r="Q12" s="48">
        <f t="shared" si="15"/>
        <v>43534</v>
      </c>
      <c r="R12" s="15"/>
      <c r="S12" s="45">
        <f t="shared" si="16"/>
        <v>43556</v>
      </c>
      <c r="T12" s="46">
        <f t="shared" si="17"/>
        <v>43557</v>
      </c>
      <c r="U12" s="46">
        <f t="shared" si="18"/>
        <v>43558</v>
      </c>
      <c r="V12" s="46">
        <f t="shared" si="19"/>
        <v>43559</v>
      </c>
      <c r="W12" s="46">
        <f t="shared" si="20"/>
        <v>43560</v>
      </c>
      <c r="X12" s="47">
        <f t="shared" si="21"/>
        <v>43561</v>
      </c>
      <c r="Y12" s="48">
        <f t="shared" si="22"/>
        <v>43562</v>
      </c>
      <c r="Z12" s="44"/>
      <c r="AA12" s="214"/>
    </row>
    <row r="13" spans="1:29" ht="13.35" customHeight="1" thickBot="1" x14ac:dyDescent="0.35">
      <c r="A13" s="15"/>
      <c r="B13" s="8"/>
      <c r="C13" s="215">
        <f>DATE(Anopri,4,1)</f>
        <v>43556</v>
      </c>
      <c r="D13" s="215"/>
      <c r="E13" s="215"/>
      <c r="F13" s="215"/>
      <c r="G13" s="215"/>
      <c r="H13" s="215"/>
      <c r="I13" s="215"/>
      <c r="J13" s="15"/>
      <c r="K13" s="215">
        <f>DATE(Anopri,5,1)</f>
        <v>43586</v>
      </c>
      <c r="L13" s="215"/>
      <c r="M13" s="215"/>
      <c r="N13" s="215"/>
      <c r="O13" s="215"/>
      <c r="P13" s="215"/>
      <c r="Q13" s="215"/>
      <c r="R13" s="15"/>
      <c r="S13" s="215">
        <f>DATE(Anopri,6,1)</f>
        <v>43617</v>
      </c>
      <c r="T13" s="215"/>
      <c r="U13" s="215"/>
      <c r="V13" s="215"/>
      <c r="W13" s="215"/>
      <c r="X13" s="215"/>
      <c r="Y13" s="215"/>
      <c r="Z13" s="49"/>
      <c r="AA13" s="214"/>
    </row>
    <row r="14" spans="1:29" s="20" customFormat="1" ht="20.6" customHeight="1" thickBot="1" x14ac:dyDescent="0.35">
      <c r="A14" s="10"/>
      <c r="B14" s="17"/>
      <c r="C14" s="216" t="str">
        <f>CHOOSE(MONTH(C4),"AVRIL")</f>
        <v>AVRIL</v>
      </c>
      <c r="D14" s="217"/>
      <c r="E14" s="217"/>
      <c r="F14" s="217"/>
      <c r="G14" s="217"/>
      <c r="H14" s="217"/>
      <c r="I14" s="218"/>
      <c r="J14" s="10"/>
      <c r="K14" s="216" t="str">
        <f>CHOOSE(MONTH(C4),"MAI")</f>
        <v>MAI</v>
      </c>
      <c r="L14" s="217"/>
      <c r="M14" s="217"/>
      <c r="N14" s="217"/>
      <c r="O14" s="217"/>
      <c r="P14" s="217"/>
      <c r="Q14" s="218"/>
      <c r="R14" s="10"/>
      <c r="S14" s="216" t="str">
        <f>CHOOSE(MONTH(C4),"JUIN")</f>
        <v>JUIN</v>
      </c>
      <c r="T14" s="217"/>
      <c r="U14" s="217"/>
      <c r="V14" s="217"/>
      <c r="W14" s="217"/>
      <c r="X14" s="217"/>
      <c r="Y14" s="218"/>
      <c r="Z14" s="50"/>
      <c r="AA14" s="214"/>
    </row>
    <row r="15" spans="1:29" s="20" customFormat="1" ht="16.350000000000001" customHeight="1" thickBot="1" x14ac:dyDescent="0.35">
      <c r="A15" s="10"/>
      <c r="B15" s="51"/>
      <c r="C15" s="21" t="str">
        <f t="shared" ref="C15:I15" si="24">CHOOSE(COLUMN(A$1)+(Débutsempri="Lundi"),"Di","Lu","Ma","Me","Je","Ve","Sa","Di")</f>
        <v>Lu</v>
      </c>
      <c r="D15" s="21" t="str">
        <f t="shared" si="24"/>
        <v>Ma</v>
      </c>
      <c r="E15" s="21" t="str">
        <f t="shared" si="24"/>
        <v>Me</v>
      </c>
      <c r="F15" s="21" t="str">
        <f t="shared" si="24"/>
        <v>Je</v>
      </c>
      <c r="G15" s="21" t="str">
        <f t="shared" si="24"/>
        <v>Ve</v>
      </c>
      <c r="H15" s="31" t="str">
        <f t="shared" si="24"/>
        <v>Sa</v>
      </c>
      <c r="I15" s="32" t="str">
        <f t="shared" si="24"/>
        <v>Di</v>
      </c>
      <c r="J15" s="27"/>
      <c r="K15" s="21" t="str">
        <f t="shared" ref="K15:Q15" si="25">CHOOSE(COLUMN(A$1)+(Débutsempri="Lundi"),"Di","Lu","Ma","Me","Je","Ve","Sa","Di")</f>
        <v>Lu</v>
      </c>
      <c r="L15" s="21" t="str">
        <f t="shared" si="25"/>
        <v>Ma</v>
      </c>
      <c r="M15" s="21" t="str">
        <f t="shared" si="25"/>
        <v>Me</v>
      </c>
      <c r="N15" s="21" t="str">
        <f t="shared" si="25"/>
        <v>Je</v>
      </c>
      <c r="O15" s="21" t="str">
        <f t="shared" si="25"/>
        <v>Ve</v>
      </c>
      <c r="P15" s="31" t="str">
        <f t="shared" si="25"/>
        <v>Sa</v>
      </c>
      <c r="Q15" s="32" t="str">
        <f t="shared" si="25"/>
        <v>Di</v>
      </c>
      <c r="R15" s="27"/>
      <c r="S15" s="21" t="str">
        <f t="shared" ref="S15:Y15" si="26">CHOOSE(COLUMN(A$1)+(Débutsempri="Lundi"),"Di","Lu","Ma","Me","Je","Ve","Sa","Di")</f>
        <v>Lu</v>
      </c>
      <c r="T15" s="21" t="str">
        <f t="shared" si="26"/>
        <v>Ma</v>
      </c>
      <c r="U15" s="21" t="str">
        <f t="shared" si="26"/>
        <v>Me</v>
      </c>
      <c r="V15" s="21" t="str">
        <f t="shared" si="26"/>
        <v>Je</v>
      </c>
      <c r="W15" s="21" t="str">
        <f t="shared" si="26"/>
        <v>Ve</v>
      </c>
      <c r="X15" s="31" t="str">
        <f t="shared" si="26"/>
        <v>Sa</v>
      </c>
      <c r="Y15" s="32" t="str">
        <f t="shared" si="26"/>
        <v>Di</v>
      </c>
      <c r="Z15" s="52"/>
      <c r="AA15" s="214"/>
    </row>
    <row r="16" spans="1:29" ht="20.6" customHeight="1" x14ac:dyDescent="0.3">
      <c r="A16" s="15"/>
      <c r="B16" s="8"/>
      <c r="C16" s="35">
        <f t="shared" ref="C16:C21" si="27">DATE(Anopri,MONTH($C$13),1)-WEEKDAY(DATE(Anopri,MONTH($C$13),1),(Débutsempri="Lundi")+1)+$A7*7-6</f>
        <v>43556</v>
      </c>
      <c r="D16" s="36">
        <f t="shared" ref="D16:D21" si="28">DATE(Anopri,MONTH($C$13),1)-WEEKDAY(DATE(Anopri,MONTH($C$13),1),(Débutsempri="Lundi")+1)+$A7*7-5</f>
        <v>43557</v>
      </c>
      <c r="E16" s="36">
        <f t="shared" ref="E16:E21" si="29">DATE(Anopri,MONTH($C$13),1)-WEEKDAY(DATE(Anopri,MONTH($C$13),1),(Débutsempri="Lundi")+1)+$A7*7-4</f>
        <v>43558</v>
      </c>
      <c r="F16" s="36">
        <f t="shared" ref="F16:F21" si="30">DATE(Anopri,MONTH($C$13),1)-WEEKDAY(DATE(Anopri,MONTH($C$13),1),(Débutsempri="Lundi")+1)+$A7*7-3</f>
        <v>43559</v>
      </c>
      <c r="G16" s="36">
        <f t="shared" ref="G16:G21" si="31">DATE(Anopri,MONTH($C$13),1)-WEEKDAY(DATE(Anopri,MONTH($C$13),1),(Débutsempri="Lundi")+1)+$A7*7-2</f>
        <v>43560</v>
      </c>
      <c r="H16" s="37">
        <f t="shared" ref="H16:H21" si="32">DATE(Anopri,MONTH($C$13),1)-WEEKDAY(DATE(Anopri,MONTH($C$13),1),(Débutsempri="Lundi")+1)+$A7*7-1</f>
        <v>43561</v>
      </c>
      <c r="I16" s="38">
        <f t="shared" ref="I16:I21" si="33">DATE(Anopri,MONTH($C$13),1)-WEEKDAY(DATE(Anopri,MONTH($C$13),1),(Débutsempri="Lundi")+1)+$A7*7</f>
        <v>43562</v>
      </c>
      <c r="J16" s="15"/>
      <c r="K16" s="35">
        <f t="shared" ref="K16:K21" si="34">DATE(Anopri,MONTH($K$13),1)-WEEKDAY(DATE(Anopri,MONTH($K$13),1),(Débutsempri="Lundi")+1)+$A7*7-6</f>
        <v>43584</v>
      </c>
      <c r="L16" s="36">
        <f t="shared" ref="L16:L21" si="35">DATE(Anopri,MONTH($K$13),1)-WEEKDAY(DATE(Anopri,MONTH($K$13),1),(Débutsempri="Lundi")+1)+$A7*7-5</f>
        <v>43585</v>
      </c>
      <c r="M16" s="36">
        <f t="shared" ref="M16:M21" si="36">DATE(Anopri,MONTH($K$13),1)-WEEKDAY(DATE(Anopri,MONTH($K$13),1),(Débutsempri="Lundi")+1)+$A7*7-4</f>
        <v>43586</v>
      </c>
      <c r="N16" s="36">
        <f t="shared" ref="N16:N21" si="37">DATE(Anopri,MONTH($K$13),1)-WEEKDAY(DATE(Anopri,MONTH($K$13),1),(Débutsempri="Lundi")+1)+$A7*7-3</f>
        <v>43587</v>
      </c>
      <c r="O16" s="36">
        <f t="shared" ref="O16:O21" si="38">DATE(Anopri,MONTH($K$13),1)-WEEKDAY(DATE(Anopri,MONTH($K$13),1),(Débutsempri="Lundi")+1)+$A7*7-2</f>
        <v>43588</v>
      </c>
      <c r="P16" s="37">
        <f t="shared" ref="P16:P21" si="39">DATE(Anopri,MONTH($K$13),1)-WEEKDAY(DATE(Anopri,MONTH($K$13),1),(Débutsempri="Lundi")+1)+$A7*7-1</f>
        <v>43589</v>
      </c>
      <c r="Q16" s="38">
        <f t="shared" ref="Q16:Q21" si="40">DATE(Anopri,MONTH($K$13),1)-WEEKDAY(DATE(Anopri,MONTH($K$13),1),(Débutsempri="Lundi")+1)+$A7*7</f>
        <v>43590</v>
      </c>
      <c r="R16" s="15"/>
      <c r="S16" s="35">
        <f t="shared" ref="S16:S21" si="41">DATE(Anopri,MONTH($S$13),1)-WEEKDAY(DATE(Anopri,MONTH($S$13),1),(Débutsempri="Lundi")+1)+$A7*7-6</f>
        <v>43612</v>
      </c>
      <c r="T16" s="36">
        <f t="shared" ref="T16:T21" si="42">DATE(Anopri,MONTH($S$13),1)-WEEKDAY(DATE(Anopri,MONTH($S$13),1),(Débutsempri="Lundi")+1)+$A7*7-5</f>
        <v>43613</v>
      </c>
      <c r="U16" s="36">
        <f t="shared" ref="U16:U21" si="43">DATE(Anopri,MONTH($S$13),1)-WEEKDAY(DATE(Anopri,MONTH($S$13),1),(Débutsempri="Lundi")+1)+$A7*7-4</f>
        <v>43614</v>
      </c>
      <c r="V16" s="36">
        <f t="shared" ref="V16:V21" si="44">DATE(Anopri,MONTH($S$13),1)-WEEKDAY(DATE(Anopri,MONTH($S$13),1),(Débutsempri="Lundi")+1)+$A7*7-3</f>
        <v>43615</v>
      </c>
      <c r="W16" s="36">
        <f t="shared" ref="W16:W21" si="45">DATE(Anopri,MONTH($S$13),1)-WEEKDAY(DATE(Anopri,MONTH($S$13),1),(Débutsempri="Lundi")+1)+$A7*7-2</f>
        <v>43616</v>
      </c>
      <c r="X16" s="37">
        <f t="shared" ref="X16:X21" si="46">DATE(Anopri,MONTH($S$13),1)-WEEKDAY(DATE(Anopri,MONTH($S$13),1),(Débutsempri="Lundi")+1)+$A7*7-1</f>
        <v>43617</v>
      </c>
      <c r="Y16" s="38">
        <f t="shared" ref="Y16:Y21" si="47">DATE(Anopri,MONTH($S$13),1)-WEEKDAY(DATE(Anopri,MONTH($S$13),1),(Débutsempri="Lundi")+1)+$A7*7</f>
        <v>43618</v>
      </c>
      <c r="Z16" s="14"/>
      <c r="AA16" s="214"/>
    </row>
    <row r="17" spans="1:27" ht="20.6" customHeight="1" x14ac:dyDescent="0.3">
      <c r="A17" s="15"/>
      <c r="B17" s="8"/>
      <c r="C17" s="39">
        <f t="shared" si="27"/>
        <v>43563</v>
      </c>
      <c r="D17" s="40">
        <f t="shared" si="28"/>
        <v>43564</v>
      </c>
      <c r="E17" s="40">
        <f t="shared" si="29"/>
        <v>43565</v>
      </c>
      <c r="F17" s="40">
        <f t="shared" si="30"/>
        <v>43566</v>
      </c>
      <c r="G17" s="40">
        <f t="shared" si="31"/>
        <v>43567</v>
      </c>
      <c r="H17" s="41">
        <f t="shared" si="32"/>
        <v>43568</v>
      </c>
      <c r="I17" s="42">
        <f t="shared" si="33"/>
        <v>43569</v>
      </c>
      <c r="J17" s="15"/>
      <c r="K17" s="39">
        <f t="shared" si="34"/>
        <v>43591</v>
      </c>
      <c r="L17" s="40">
        <f t="shared" si="35"/>
        <v>43592</v>
      </c>
      <c r="M17" s="40">
        <f t="shared" si="36"/>
        <v>43593</v>
      </c>
      <c r="N17" s="40">
        <f t="shared" si="37"/>
        <v>43594</v>
      </c>
      <c r="O17" s="40">
        <f t="shared" si="38"/>
        <v>43595</v>
      </c>
      <c r="P17" s="41">
        <f t="shared" si="39"/>
        <v>43596</v>
      </c>
      <c r="Q17" s="42">
        <f t="shared" si="40"/>
        <v>43597</v>
      </c>
      <c r="R17" s="15"/>
      <c r="S17" s="39">
        <f t="shared" si="41"/>
        <v>43619</v>
      </c>
      <c r="T17" s="40">
        <f t="shared" si="42"/>
        <v>43620</v>
      </c>
      <c r="U17" s="40">
        <f t="shared" si="43"/>
        <v>43621</v>
      </c>
      <c r="V17" s="40">
        <f t="shared" si="44"/>
        <v>43622</v>
      </c>
      <c r="W17" s="40">
        <f t="shared" si="45"/>
        <v>43623</v>
      </c>
      <c r="X17" s="41">
        <f t="shared" si="46"/>
        <v>43624</v>
      </c>
      <c r="Y17" s="42">
        <f t="shared" si="47"/>
        <v>43625</v>
      </c>
      <c r="Z17" s="14"/>
      <c r="AA17" s="214"/>
    </row>
    <row r="18" spans="1:27" ht="20.6" customHeight="1" x14ac:dyDescent="0.3">
      <c r="A18" s="15"/>
      <c r="B18" s="8"/>
      <c r="C18" s="39">
        <f t="shared" si="27"/>
        <v>43570</v>
      </c>
      <c r="D18" s="40">
        <f t="shared" si="28"/>
        <v>43571</v>
      </c>
      <c r="E18" s="40">
        <f t="shared" si="29"/>
        <v>43572</v>
      </c>
      <c r="F18" s="40">
        <f t="shared" si="30"/>
        <v>43573</v>
      </c>
      <c r="G18" s="40">
        <f t="shared" si="31"/>
        <v>43574</v>
      </c>
      <c r="H18" s="41">
        <f t="shared" si="32"/>
        <v>43575</v>
      </c>
      <c r="I18" s="42">
        <f t="shared" si="33"/>
        <v>43576</v>
      </c>
      <c r="J18" s="15"/>
      <c r="K18" s="39">
        <f t="shared" si="34"/>
        <v>43598</v>
      </c>
      <c r="L18" s="40">
        <f t="shared" si="35"/>
        <v>43599</v>
      </c>
      <c r="M18" s="40">
        <f t="shared" si="36"/>
        <v>43600</v>
      </c>
      <c r="N18" s="40">
        <f t="shared" si="37"/>
        <v>43601</v>
      </c>
      <c r="O18" s="40">
        <f t="shared" si="38"/>
        <v>43602</v>
      </c>
      <c r="P18" s="41">
        <f t="shared" si="39"/>
        <v>43603</v>
      </c>
      <c r="Q18" s="42">
        <f t="shared" si="40"/>
        <v>43604</v>
      </c>
      <c r="R18" s="15"/>
      <c r="S18" s="39">
        <f t="shared" si="41"/>
        <v>43626</v>
      </c>
      <c r="T18" s="40">
        <f t="shared" si="42"/>
        <v>43627</v>
      </c>
      <c r="U18" s="40">
        <f t="shared" si="43"/>
        <v>43628</v>
      </c>
      <c r="V18" s="40">
        <f t="shared" si="44"/>
        <v>43629</v>
      </c>
      <c r="W18" s="40">
        <f t="shared" si="45"/>
        <v>43630</v>
      </c>
      <c r="X18" s="41">
        <f t="shared" si="46"/>
        <v>43631</v>
      </c>
      <c r="Y18" s="42">
        <f t="shared" si="47"/>
        <v>43632</v>
      </c>
      <c r="Z18" s="14"/>
      <c r="AA18" s="214"/>
    </row>
    <row r="19" spans="1:27" ht="20.6" customHeight="1" x14ac:dyDescent="0.3">
      <c r="A19" s="15"/>
      <c r="B19" s="8"/>
      <c r="C19" s="39">
        <f t="shared" si="27"/>
        <v>43577</v>
      </c>
      <c r="D19" s="40">
        <f t="shared" si="28"/>
        <v>43578</v>
      </c>
      <c r="E19" s="40">
        <f t="shared" si="29"/>
        <v>43579</v>
      </c>
      <c r="F19" s="40">
        <f t="shared" si="30"/>
        <v>43580</v>
      </c>
      <c r="G19" s="40">
        <f t="shared" si="31"/>
        <v>43581</v>
      </c>
      <c r="H19" s="41">
        <f t="shared" si="32"/>
        <v>43582</v>
      </c>
      <c r="I19" s="42">
        <f t="shared" si="33"/>
        <v>43583</v>
      </c>
      <c r="J19" s="15"/>
      <c r="K19" s="39">
        <f t="shared" si="34"/>
        <v>43605</v>
      </c>
      <c r="L19" s="40">
        <f t="shared" si="35"/>
        <v>43606</v>
      </c>
      <c r="M19" s="40">
        <f t="shared" si="36"/>
        <v>43607</v>
      </c>
      <c r="N19" s="40">
        <f t="shared" si="37"/>
        <v>43608</v>
      </c>
      <c r="O19" s="40">
        <f t="shared" si="38"/>
        <v>43609</v>
      </c>
      <c r="P19" s="41">
        <f t="shared" si="39"/>
        <v>43610</v>
      </c>
      <c r="Q19" s="42">
        <f t="shared" si="40"/>
        <v>43611</v>
      </c>
      <c r="R19" s="15"/>
      <c r="S19" s="39">
        <f t="shared" si="41"/>
        <v>43633</v>
      </c>
      <c r="T19" s="40">
        <f t="shared" si="42"/>
        <v>43634</v>
      </c>
      <c r="U19" s="40">
        <f t="shared" si="43"/>
        <v>43635</v>
      </c>
      <c r="V19" s="40">
        <f t="shared" si="44"/>
        <v>43636</v>
      </c>
      <c r="W19" s="40">
        <f t="shared" si="45"/>
        <v>43637</v>
      </c>
      <c r="X19" s="41">
        <f t="shared" si="46"/>
        <v>43638</v>
      </c>
      <c r="Y19" s="42">
        <f t="shared" si="47"/>
        <v>43639</v>
      </c>
      <c r="Z19" s="14"/>
      <c r="AA19" s="214"/>
    </row>
    <row r="20" spans="1:27" ht="20.6" customHeight="1" x14ac:dyDescent="0.3">
      <c r="A20" s="15"/>
      <c r="B20" s="8"/>
      <c r="C20" s="39">
        <f t="shared" si="27"/>
        <v>43584</v>
      </c>
      <c r="D20" s="40">
        <f t="shared" si="28"/>
        <v>43585</v>
      </c>
      <c r="E20" s="40">
        <f t="shared" si="29"/>
        <v>43586</v>
      </c>
      <c r="F20" s="40">
        <f t="shared" si="30"/>
        <v>43587</v>
      </c>
      <c r="G20" s="40">
        <f t="shared" si="31"/>
        <v>43588</v>
      </c>
      <c r="H20" s="41">
        <f t="shared" si="32"/>
        <v>43589</v>
      </c>
      <c r="I20" s="42">
        <f t="shared" si="33"/>
        <v>43590</v>
      </c>
      <c r="J20" s="15"/>
      <c r="K20" s="39">
        <f t="shared" si="34"/>
        <v>43612</v>
      </c>
      <c r="L20" s="40">
        <f t="shared" si="35"/>
        <v>43613</v>
      </c>
      <c r="M20" s="40">
        <f t="shared" si="36"/>
        <v>43614</v>
      </c>
      <c r="N20" s="40">
        <f t="shared" si="37"/>
        <v>43615</v>
      </c>
      <c r="O20" s="40">
        <f t="shared" si="38"/>
        <v>43616</v>
      </c>
      <c r="P20" s="41">
        <f t="shared" si="39"/>
        <v>43617</v>
      </c>
      <c r="Q20" s="42">
        <f t="shared" si="40"/>
        <v>43618</v>
      </c>
      <c r="R20" s="15"/>
      <c r="S20" s="39">
        <f t="shared" si="41"/>
        <v>43640</v>
      </c>
      <c r="T20" s="40">
        <f t="shared" si="42"/>
        <v>43641</v>
      </c>
      <c r="U20" s="40">
        <f t="shared" si="43"/>
        <v>43642</v>
      </c>
      <c r="V20" s="40">
        <f t="shared" si="44"/>
        <v>43643</v>
      </c>
      <c r="W20" s="40">
        <f t="shared" si="45"/>
        <v>43644</v>
      </c>
      <c r="X20" s="41">
        <f t="shared" si="46"/>
        <v>43645</v>
      </c>
      <c r="Y20" s="42">
        <f t="shared" si="47"/>
        <v>43646</v>
      </c>
      <c r="Z20" s="14"/>
      <c r="AA20" s="214"/>
    </row>
    <row r="21" spans="1:27" ht="20.6" customHeight="1" thickBot="1" x14ac:dyDescent="0.35">
      <c r="A21" s="15"/>
      <c r="B21" s="8"/>
      <c r="C21" s="45">
        <f t="shared" si="27"/>
        <v>43591</v>
      </c>
      <c r="D21" s="46">
        <f t="shared" si="28"/>
        <v>43592</v>
      </c>
      <c r="E21" s="46">
        <f t="shared" si="29"/>
        <v>43593</v>
      </c>
      <c r="F21" s="46">
        <f t="shared" si="30"/>
        <v>43594</v>
      </c>
      <c r="G21" s="46">
        <f t="shared" si="31"/>
        <v>43595</v>
      </c>
      <c r="H21" s="47">
        <f t="shared" si="32"/>
        <v>43596</v>
      </c>
      <c r="I21" s="48">
        <f t="shared" si="33"/>
        <v>43597</v>
      </c>
      <c r="J21" s="15"/>
      <c r="K21" s="45">
        <f t="shared" si="34"/>
        <v>43619</v>
      </c>
      <c r="L21" s="46">
        <f t="shared" si="35"/>
        <v>43620</v>
      </c>
      <c r="M21" s="46">
        <f t="shared" si="36"/>
        <v>43621</v>
      </c>
      <c r="N21" s="46">
        <f t="shared" si="37"/>
        <v>43622</v>
      </c>
      <c r="O21" s="46">
        <f t="shared" si="38"/>
        <v>43623</v>
      </c>
      <c r="P21" s="47">
        <f t="shared" si="39"/>
        <v>43624</v>
      </c>
      <c r="Q21" s="48">
        <f t="shared" si="40"/>
        <v>43625</v>
      </c>
      <c r="R21" s="15"/>
      <c r="S21" s="45">
        <f t="shared" si="41"/>
        <v>43647</v>
      </c>
      <c r="T21" s="46">
        <f t="shared" si="42"/>
        <v>43648</v>
      </c>
      <c r="U21" s="46">
        <f t="shared" si="43"/>
        <v>43649</v>
      </c>
      <c r="V21" s="46">
        <f t="shared" si="44"/>
        <v>43650</v>
      </c>
      <c r="W21" s="46">
        <f t="shared" si="45"/>
        <v>43651</v>
      </c>
      <c r="X21" s="47">
        <f t="shared" si="46"/>
        <v>43652</v>
      </c>
      <c r="Y21" s="48">
        <f t="shared" si="47"/>
        <v>43653</v>
      </c>
      <c r="Z21" s="14"/>
      <c r="AA21" s="214"/>
    </row>
    <row r="22" spans="1:27" ht="13.35" customHeight="1" thickBot="1" x14ac:dyDescent="0.35">
      <c r="A22" s="15"/>
      <c r="B22" s="8"/>
      <c r="C22" s="215">
        <f>DATE(Anopri,7,1)</f>
        <v>43647</v>
      </c>
      <c r="D22" s="215"/>
      <c r="E22" s="215"/>
      <c r="F22" s="215"/>
      <c r="G22" s="215"/>
      <c r="H22" s="215"/>
      <c r="I22" s="215"/>
      <c r="J22" s="15"/>
      <c r="K22" s="215">
        <f>DATE(Anopri,8,1)</f>
        <v>43678</v>
      </c>
      <c r="L22" s="215"/>
      <c r="M22" s="215"/>
      <c r="N22" s="215"/>
      <c r="O22" s="215"/>
      <c r="P22" s="215"/>
      <c r="Q22" s="215"/>
      <c r="R22" s="15"/>
      <c r="S22" s="215">
        <f>DATE(Anopri,9,1)</f>
        <v>43709</v>
      </c>
      <c r="T22" s="215"/>
      <c r="U22" s="215"/>
      <c r="V22" s="215"/>
      <c r="W22" s="215"/>
      <c r="X22" s="215"/>
      <c r="Y22" s="215"/>
      <c r="Z22" s="7"/>
      <c r="AA22" s="214"/>
    </row>
    <row r="23" spans="1:27" s="20" customFormat="1" ht="20.6" customHeight="1" thickBot="1" x14ac:dyDescent="0.35">
      <c r="A23" s="10"/>
      <c r="B23" s="17"/>
      <c r="C23" s="216" t="str">
        <f>CHOOSE(MONTH(C4),"JUILLET")</f>
        <v>JUILLET</v>
      </c>
      <c r="D23" s="217"/>
      <c r="E23" s="217"/>
      <c r="F23" s="217"/>
      <c r="G23" s="217"/>
      <c r="H23" s="217"/>
      <c r="I23" s="218"/>
      <c r="J23" s="10"/>
      <c r="K23" s="216" t="str">
        <f>CHOOSE(MONTH(C4),"AOÛT")</f>
        <v>AOÛT</v>
      </c>
      <c r="L23" s="217"/>
      <c r="M23" s="217"/>
      <c r="N23" s="217"/>
      <c r="O23" s="217"/>
      <c r="P23" s="217"/>
      <c r="Q23" s="218"/>
      <c r="R23" s="10"/>
      <c r="S23" s="219" t="str">
        <f>CHOOSE(MONTH(C4),"SEPTEMBRE")</f>
        <v>SEPTEMBRE</v>
      </c>
      <c r="T23" s="220"/>
      <c r="U23" s="220"/>
      <c r="V23" s="220"/>
      <c r="W23" s="220"/>
      <c r="X23" s="220"/>
      <c r="Y23" s="218"/>
      <c r="Z23" s="19"/>
      <c r="AA23" s="214"/>
    </row>
    <row r="24" spans="1:27" s="20" customFormat="1" ht="16.350000000000001" customHeight="1" thickBot="1" x14ac:dyDescent="0.35">
      <c r="A24" s="10"/>
      <c r="B24" s="51"/>
      <c r="C24" s="21" t="str">
        <f t="shared" ref="C24:I24" si="48">CHOOSE(COLUMN(A$1)+(Débutsempri="Lundi"),"Di","Lu","Ma","Me","Je","Ve","Sa","Di")</f>
        <v>Lu</v>
      </c>
      <c r="D24" s="21" t="str">
        <f t="shared" si="48"/>
        <v>Ma</v>
      </c>
      <c r="E24" s="21" t="str">
        <f t="shared" si="48"/>
        <v>Me</v>
      </c>
      <c r="F24" s="21" t="str">
        <f t="shared" si="48"/>
        <v>Je</v>
      </c>
      <c r="G24" s="21" t="str">
        <f t="shared" si="48"/>
        <v>Ve</v>
      </c>
      <c r="H24" s="31" t="str">
        <f t="shared" si="48"/>
        <v>Sa</v>
      </c>
      <c r="I24" s="32" t="str">
        <f t="shared" si="48"/>
        <v>Di</v>
      </c>
      <c r="J24" s="27"/>
      <c r="K24" s="21" t="str">
        <f t="shared" ref="K24:Q24" si="49">CHOOSE(COLUMN(A$1)+(Débutsempri="Lundi"),"Di","Lu","Ma","Me","Je","Ve","Sa","Di")</f>
        <v>Lu</v>
      </c>
      <c r="L24" s="21" t="str">
        <f t="shared" si="49"/>
        <v>Ma</v>
      </c>
      <c r="M24" s="21" t="str">
        <f t="shared" si="49"/>
        <v>Me</v>
      </c>
      <c r="N24" s="21" t="str">
        <f t="shared" si="49"/>
        <v>Je</v>
      </c>
      <c r="O24" s="21" t="str">
        <f t="shared" si="49"/>
        <v>Ve</v>
      </c>
      <c r="P24" s="31" t="str">
        <f t="shared" si="49"/>
        <v>Sa</v>
      </c>
      <c r="Q24" s="32" t="str">
        <f t="shared" si="49"/>
        <v>Di</v>
      </c>
      <c r="R24" s="10"/>
      <c r="S24" s="53" t="str">
        <f t="shared" ref="S24:Y24" si="50">CHOOSE(COLUMN(A$1)+(Débutsempri="Lundi"),"Di","Lu","Ma","Me","Je","Ve","Sa","Di")</f>
        <v>Lu</v>
      </c>
      <c r="T24" s="54" t="str">
        <f t="shared" si="50"/>
        <v>Ma</v>
      </c>
      <c r="U24" s="54" t="str">
        <f t="shared" si="50"/>
        <v>Me</v>
      </c>
      <c r="V24" s="54" t="str">
        <f t="shared" si="50"/>
        <v>Je</v>
      </c>
      <c r="W24" s="54" t="str">
        <f t="shared" si="50"/>
        <v>Ve</v>
      </c>
      <c r="X24" s="55" t="str">
        <f t="shared" si="50"/>
        <v>Sa</v>
      </c>
      <c r="Y24" s="56" t="str">
        <f t="shared" si="50"/>
        <v>Di</v>
      </c>
      <c r="Z24" s="57"/>
      <c r="AA24" s="214"/>
    </row>
    <row r="25" spans="1:27" ht="20.6" customHeight="1" x14ac:dyDescent="0.3">
      <c r="A25" s="15">
        <v>1</v>
      </c>
      <c r="B25" s="8"/>
      <c r="C25" s="35">
        <f t="shared" ref="C25:C30" si="51">DATE(Anopri,MONTH($C$22),1)-WEEKDAY(DATE(Anopri,MONTH($C$22),1),(Débutsempri="Lundi")+1)+$A25*7-6</f>
        <v>43647</v>
      </c>
      <c r="D25" s="36">
        <f t="shared" ref="D25:D30" si="52">DATE(Anopri,MONTH($C$22),1)-WEEKDAY(DATE(Anopri,MONTH($C$22),1),(Débutsempri="Lundi")+1)+$A25*7-5</f>
        <v>43648</v>
      </c>
      <c r="E25" s="36">
        <f t="shared" ref="E25:E30" si="53">DATE(Anopri,MONTH($C$22),1)-WEEKDAY(DATE(Anopri,MONTH($C$22),1),(Débutsempri="Lundi")+1)+$A25*7-4</f>
        <v>43649</v>
      </c>
      <c r="F25" s="36">
        <f t="shared" ref="F25:F30" si="54">DATE(Anopri,MONTH($C$22),1)-WEEKDAY(DATE(Anopri,MONTH($C$22),1),(Débutsempri="Lundi")+1)+$A25*7-3</f>
        <v>43650</v>
      </c>
      <c r="G25" s="36">
        <f t="shared" ref="G25:G30" si="55">DATE(Anopri,MONTH($C$22),1)-WEEKDAY(DATE(Anopri,MONTH($C$22),1),(Débutsempri="Lundi")+1)+$A25*7-2</f>
        <v>43651</v>
      </c>
      <c r="H25" s="37">
        <f t="shared" ref="H25:H30" si="56">DATE(Anopri,MONTH($C$22),1)-WEEKDAY(DATE(Anopri,MONTH($C$22),1),(Débutsempri="Lundi")+1)+$A25*7-1</f>
        <v>43652</v>
      </c>
      <c r="I25" s="38">
        <f t="shared" ref="I25:I30" si="57">DATE(Anopri,MONTH($C$22),1)-WEEKDAY(DATE(Anopri,MONTH($C$22),1),(Débutsempri="Lundi")+1)+$A25*7</f>
        <v>43653</v>
      </c>
      <c r="J25" s="15"/>
      <c r="K25" s="35">
        <f t="shared" ref="K25:K30" si="58">DATE(Anopri,MONTH($K$22),1)-WEEKDAY(DATE(Anopri,MONTH($K$22),1),(Débutsempri="Lundi")+1)+$A25*7-6</f>
        <v>43675</v>
      </c>
      <c r="L25" s="36">
        <f t="shared" ref="L25:L30" si="59">DATE(Anopri,MONTH($K$22),1)-WEEKDAY(DATE(Anopri,MONTH($K$22),1),(Débutsempri="Lundi")+1)+$A25*7-5</f>
        <v>43676</v>
      </c>
      <c r="M25" s="36">
        <f t="shared" ref="M25:M30" si="60">DATE(Anopri,MONTH($K$22),1)-WEEKDAY(DATE(Anopri,MONTH($K$22),1),(Débutsempri="Lundi")+1)+$A25*7-4</f>
        <v>43677</v>
      </c>
      <c r="N25" s="36">
        <f t="shared" ref="N25:N30" si="61">DATE(Anopri,MONTH($K$22),1)-WEEKDAY(DATE(Anopri,MONTH($K$22),1),(Débutsempri="Lundi")+1)+$A25*7-3</f>
        <v>43678</v>
      </c>
      <c r="O25" s="36">
        <f t="shared" ref="O25:O30" si="62">DATE(Anopri,MONTH($K$22),1)-WEEKDAY(DATE(Anopri,MONTH($K$22),1),(Débutsempri="Lundi")+1)+$A25*7-2</f>
        <v>43679</v>
      </c>
      <c r="P25" s="37">
        <f t="shared" ref="P25:P30" si="63">DATE(Anopri,MONTH($K$22),1)-WEEKDAY(DATE(Anopri,MONTH($K$22),1),(Débutsempri="Lundi")+1)+$A25*7-1</f>
        <v>43680</v>
      </c>
      <c r="Q25" s="38">
        <f t="shared" ref="Q25:Q30" si="64">DATE(Anopri,MONTH($K$22),1)-WEEKDAY(DATE(Anopri,MONTH($K$22),1),(Débutsempri="Lundi")+1)+$A25*7</f>
        <v>43681</v>
      </c>
      <c r="R25" s="15"/>
      <c r="S25" s="35">
        <f t="shared" ref="S25:S30" si="65">DATE(Anopri,MONTH($S$22),1)-WEEKDAY(DATE(Anopri,MONTH($S$22),1),(Débutsempri="Lundi")+1)+$A25*7-6</f>
        <v>43703</v>
      </c>
      <c r="T25" s="36">
        <f t="shared" ref="T25:T30" si="66">DATE(Anopri,MONTH($S$22),1)-WEEKDAY(DATE(Anopri,MONTH($S$22),1),(Débutsempri="Lundi")+1)+$A25*7-5</f>
        <v>43704</v>
      </c>
      <c r="U25" s="36">
        <f t="shared" ref="U25:U30" si="67">DATE(Anopri,MONTH($S$22),1)-WEEKDAY(DATE(Anopri,MONTH($S$22),1),(Débutsempri="Lundi")+1)+$A25*7-4</f>
        <v>43705</v>
      </c>
      <c r="V25" s="36">
        <f t="shared" ref="V25:V30" si="68">DATE(Anopri,MONTH($S$22),1)-WEEKDAY(DATE(Anopri,MONTH($S$22),1),(Débutsempri="Lundi")+1)+$A25*7-3</f>
        <v>43706</v>
      </c>
      <c r="W25" s="36">
        <f t="shared" ref="W25:W30" si="69">DATE(Anopri,MONTH($S$22),1)-WEEKDAY(DATE(Anopri,MONTH($S$22),1),(Débutsempri="Lundi")+1)+$A25*7-2</f>
        <v>43707</v>
      </c>
      <c r="X25" s="37">
        <f t="shared" ref="X25:X30" si="70">DATE(Anopri,MONTH($S$22),1)-WEEKDAY(DATE(Anopri,MONTH($S$22),1),(Débutsempri="Lundi")+1)+$A25*7-1</f>
        <v>43708</v>
      </c>
      <c r="Y25" s="38">
        <f t="shared" ref="Y25:Y30" si="71">DATE(Anopri,MONTH($S$22),1)-WEEKDAY(DATE(Anopri,MONTH($S$22),1),(Débutsempri="Lundi")+1)+$A25*7</f>
        <v>43709</v>
      </c>
      <c r="Z25" s="14"/>
      <c r="AA25" s="214"/>
    </row>
    <row r="26" spans="1:27" ht="20.6" customHeight="1" x14ac:dyDescent="0.3">
      <c r="A26" s="15">
        <v>2</v>
      </c>
      <c r="B26" s="8"/>
      <c r="C26" s="39">
        <f t="shared" si="51"/>
        <v>43654</v>
      </c>
      <c r="D26" s="40">
        <f t="shared" si="52"/>
        <v>43655</v>
      </c>
      <c r="E26" s="40">
        <f t="shared" si="53"/>
        <v>43656</v>
      </c>
      <c r="F26" s="40">
        <f t="shared" si="54"/>
        <v>43657</v>
      </c>
      <c r="G26" s="40">
        <f t="shared" si="55"/>
        <v>43658</v>
      </c>
      <c r="H26" s="41">
        <f t="shared" si="56"/>
        <v>43659</v>
      </c>
      <c r="I26" s="42">
        <f t="shared" si="57"/>
        <v>43660</v>
      </c>
      <c r="J26" s="15"/>
      <c r="K26" s="39">
        <f t="shared" si="58"/>
        <v>43682</v>
      </c>
      <c r="L26" s="40">
        <f t="shared" si="59"/>
        <v>43683</v>
      </c>
      <c r="M26" s="40">
        <f t="shared" si="60"/>
        <v>43684</v>
      </c>
      <c r="N26" s="40">
        <f t="shared" si="61"/>
        <v>43685</v>
      </c>
      <c r="O26" s="40">
        <f t="shared" si="62"/>
        <v>43686</v>
      </c>
      <c r="P26" s="41">
        <f t="shared" si="63"/>
        <v>43687</v>
      </c>
      <c r="Q26" s="42">
        <f t="shared" si="64"/>
        <v>43688</v>
      </c>
      <c r="R26" s="15"/>
      <c r="S26" s="39">
        <f t="shared" si="65"/>
        <v>43710</v>
      </c>
      <c r="T26" s="40">
        <f t="shared" si="66"/>
        <v>43711</v>
      </c>
      <c r="U26" s="40">
        <f t="shared" si="67"/>
        <v>43712</v>
      </c>
      <c r="V26" s="40">
        <f t="shared" si="68"/>
        <v>43713</v>
      </c>
      <c r="W26" s="40">
        <f t="shared" si="69"/>
        <v>43714</v>
      </c>
      <c r="X26" s="41">
        <f t="shared" si="70"/>
        <v>43715</v>
      </c>
      <c r="Y26" s="42">
        <f t="shared" si="71"/>
        <v>43716</v>
      </c>
      <c r="Z26" s="14"/>
      <c r="AA26" s="214"/>
    </row>
    <row r="27" spans="1:27" ht="20.6" customHeight="1" x14ac:dyDescent="0.3">
      <c r="A27" s="15">
        <v>3</v>
      </c>
      <c r="B27" s="8"/>
      <c r="C27" s="39">
        <f t="shared" si="51"/>
        <v>43661</v>
      </c>
      <c r="D27" s="40">
        <f t="shared" si="52"/>
        <v>43662</v>
      </c>
      <c r="E27" s="40">
        <f t="shared" si="53"/>
        <v>43663</v>
      </c>
      <c r="F27" s="40">
        <f t="shared" si="54"/>
        <v>43664</v>
      </c>
      <c r="G27" s="40">
        <f t="shared" si="55"/>
        <v>43665</v>
      </c>
      <c r="H27" s="41">
        <f t="shared" si="56"/>
        <v>43666</v>
      </c>
      <c r="I27" s="42">
        <f t="shared" si="57"/>
        <v>43667</v>
      </c>
      <c r="J27" s="15"/>
      <c r="K27" s="39">
        <f t="shared" si="58"/>
        <v>43689</v>
      </c>
      <c r="L27" s="40">
        <f t="shared" si="59"/>
        <v>43690</v>
      </c>
      <c r="M27" s="40">
        <f t="shared" si="60"/>
        <v>43691</v>
      </c>
      <c r="N27" s="40">
        <f t="shared" si="61"/>
        <v>43692</v>
      </c>
      <c r="O27" s="40">
        <f t="shared" si="62"/>
        <v>43693</v>
      </c>
      <c r="P27" s="41">
        <f t="shared" si="63"/>
        <v>43694</v>
      </c>
      <c r="Q27" s="42">
        <f t="shared" si="64"/>
        <v>43695</v>
      </c>
      <c r="R27" s="15"/>
      <c r="S27" s="39">
        <f t="shared" si="65"/>
        <v>43717</v>
      </c>
      <c r="T27" s="40">
        <f t="shared" si="66"/>
        <v>43718</v>
      </c>
      <c r="U27" s="40">
        <f t="shared" si="67"/>
        <v>43719</v>
      </c>
      <c r="V27" s="40">
        <f t="shared" si="68"/>
        <v>43720</v>
      </c>
      <c r="W27" s="40">
        <f t="shared" si="69"/>
        <v>43721</v>
      </c>
      <c r="X27" s="41">
        <f t="shared" si="70"/>
        <v>43722</v>
      </c>
      <c r="Y27" s="42">
        <f t="shared" si="71"/>
        <v>43723</v>
      </c>
      <c r="Z27" s="14"/>
      <c r="AA27" s="214"/>
    </row>
    <row r="28" spans="1:27" ht="20.6" customHeight="1" x14ac:dyDescent="0.3">
      <c r="A28" s="15">
        <v>4</v>
      </c>
      <c r="B28" s="8"/>
      <c r="C28" s="39">
        <f t="shared" si="51"/>
        <v>43668</v>
      </c>
      <c r="D28" s="40">
        <f t="shared" si="52"/>
        <v>43669</v>
      </c>
      <c r="E28" s="40">
        <f t="shared" si="53"/>
        <v>43670</v>
      </c>
      <c r="F28" s="40">
        <f t="shared" si="54"/>
        <v>43671</v>
      </c>
      <c r="G28" s="40">
        <f t="shared" si="55"/>
        <v>43672</v>
      </c>
      <c r="H28" s="41">
        <f t="shared" si="56"/>
        <v>43673</v>
      </c>
      <c r="I28" s="42">
        <f t="shared" si="57"/>
        <v>43674</v>
      </c>
      <c r="J28" s="15"/>
      <c r="K28" s="39">
        <f t="shared" si="58"/>
        <v>43696</v>
      </c>
      <c r="L28" s="40">
        <f t="shared" si="59"/>
        <v>43697</v>
      </c>
      <c r="M28" s="40">
        <f t="shared" si="60"/>
        <v>43698</v>
      </c>
      <c r="N28" s="40">
        <f t="shared" si="61"/>
        <v>43699</v>
      </c>
      <c r="O28" s="40">
        <f t="shared" si="62"/>
        <v>43700</v>
      </c>
      <c r="P28" s="41">
        <f t="shared" si="63"/>
        <v>43701</v>
      </c>
      <c r="Q28" s="42">
        <f t="shared" si="64"/>
        <v>43702</v>
      </c>
      <c r="R28" s="15"/>
      <c r="S28" s="39">
        <f t="shared" si="65"/>
        <v>43724</v>
      </c>
      <c r="T28" s="40">
        <f t="shared" si="66"/>
        <v>43725</v>
      </c>
      <c r="U28" s="40">
        <f t="shared" si="67"/>
        <v>43726</v>
      </c>
      <c r="V28" s="40">
        <f t="shared" si="68"/>
        <v>43727</v>
      </c>
      <c r="W28" s="40">
        <f t="shared" si="69"/>
        <v>43728</v>
      </c>
      <c r="X28" s="41">
        <f t="shared" si="70"/>
        <v>43729</v>
      </c>
      <c r="Y28" s="42">
        <f t="shared" si="71"/>
        <v>43730</v>
      </c>
      <c r="Z28" s="14"/>
      <c r="AA28" s="214"/>
    </row>
    <row r="29" spans="1:27" ht="20.6" customHeight="1" x14ac:dyDescent="0.3">
      <c r="A29" s="15">
        <v>5</v>
      </c>
      <c r="B29" s="8"/>
      <c r="C29" s="39">
        <f t="shared" si="51"/>
        <v>43675</v>
      </c>
      <c r="D29" s="40">
        <f t="shared" si="52"/>
        <v>43676</v>
      </c>
      <c r="E29" s="40">
        <f t="shared" si="53"/>
        <v>43677</v>
      </c>
      <c r="F29" s="40">
        <f t="shared" si="54"/>
        <v>43678</v>
      </c>
      <c r="G29" s="40">
        <f t="shared" si="55"/>
        <v>43679</v>
      </c>
      <c r="H29" s="41">
        <f t="shared" si="56"/>
        <v>43680</v>
      </c>
      <c r="I29" s="42">
        <f t="shared" si="57"/>
        <v>43681</v>
      </c>
      <c r="J29" s="15"/>
      <c r="K29" s="39">
        <f t="shared" si="58"/>
        <v>43703</v>
      </c>
      <c r="L29" s="40">
        <f t="shared" si="59"/>
        <v>43704</v>
      </c>
      <c r="M29" s="40">
        <f t="shared" si="60"/>
        <v>43705</v>
      </c>
      <c r="N29" s="40">
        <f t="shared" si="61"/>
        <v>43706</v>
      </c>
      <c r="O29" s="40">
        <f t="shared" si="62"/>
        <v>43707</v>
      </c>
      <c r="P29" s="41">
        <f t="shared" si="63"/>
        <v>43708</v>
      </c>
      <c r="Q29" s="42">
        <f t="shared" si="64"/>
        <v>43709</v>
      </c>
      <c r="R29" s="15"/>
      <c r="S29" s="39">
        <f t="shared" si="65"/>
        <v>43731</v>
      </c>
      <c r="T29" s="40">
        <f t="shared" si="66"/>
        <v>43732</v>
      </c>
      <c r="U29" s="40">
        <f t="shared" si="67"/>
        <v>43733</v>
      </c>
      <c r="V29" s="40">
        <f t="shared" si="68"/>
        <v>43734</v>
      </c>
      <c r="W29" s="40">
        <f t="shared" si="69"/>
        <v>43735</v>
      </c>
      <c r="X29" s="41">
        <f t="shared" si="70"/>
        <v>43736</v>
      </c>
      <c r="Y29" s="42">
        <f t="shared" si="71"/>
        <v>43737</v>
      </c>
      <c r="Z29" s="14"/>
      <c r="AA29" s="214"/>
    </row>
    <row r="30" spans="1:27" ht="20.6" customHeight="1" thickBot="1" x14ac:dyDescent="0.35">
      <c r="A30" s="15">
        <v>6</v>
      </c>
      <c r="B30" s="8"/>
      <c r="C30" s="45">
        <f t="shared" si="51"/>
        <v>43682</v>
      </c>
      <c r="D30" s="46">
        <f t="shared" si="52"/>
        <v>43683</v>
      </c>
      <c r="E30" s="46">
        <f t="shared" si="53"/>
        <v>43684</v>
      </c>
      <c r="F30" s="46">
        <f t="shared" si="54"/>
        <v>43685</v>
      </c>
      <c r="G30" s="46">
        <f t="shared" si="55"/>
        <v>43686</v>
      </c>
      <c r="H30" s="47">
        <f t="shared" si="56"/>
        <v>43687</v>
      </c>
      <c r="I30" s="48">
        <f t="shared" si="57"/>
        <v>43688</v>
      </c>
      <c r="J30" s="15"/>
      <c r="K30" s="45">
        <f t="shared" si="58"/>
        <v>43710</v>
      </c>
      <c r="L30" s="46">
        <f t="shared" si="59"/>
        <v>43711</v>
      </c>
      <c r="M30" s="46">
        <f t="shared" si="60"/>
        <v>43712</v>
      </c>
      <c r="N30" s="46">
        <f t="shared" si="61"/>
        <v>43713</v>
      </c>
      <c r="O30" s="46">
        <f t="shared" si="62"/>
        <v>43714</v>
      </c>
      <c r="P30" s="47">
        <f t="shared" si="63"/>
        <v>43715</v>
      </c>
      <c r="Q30" s="48">
        <f t="shared" si="64"/>
        <v>43716</v>
      </c>
      <c r="R30" s="15"/>
      <c r="S30" s="45">
        <f t="shared" si="65"/>
        <v>43738</v>
      </c>
      <c r="T30" s="46">
        <f t="shared" si="66"/>
        <v>43739</v>
      </c>
      <c r="U30" s="46">
        <f t="shared" si="67"/>
        <v>43740</v>
      </c>
      <c r="V30" s="46">
        <f t="shared" si="68"/>
        <v>43741</v>
      </c>
      <c r="W30" s="46">
        <f t="shared" si="69"/>
        <v>43742</v>
      </c>
      <c r="X30" s="47">
        <f t="shared" si="70"/>
        <v>43743</v>
      </c>
      <c r="Y30" s="48">
        <f t="shared" si="71"/>
        <v>43744</v>
      </c>
      <c r="Z30" s="14"/>
      <c r="AA30" s="214"/>
    </row>
    <row r="31" spans="1:27" ht="13.35" customHeight="1" thickBot="1" x14ac:dyDescent="0.35">
      <c r="A31" s="15"/>
      <c r="B31" s="8"/>
      <c r="C31" s="215">
        <f>DATE(Anopri,10,1)</f>
        <v>43739</v>
      </c>
      <c r="D31" s="215"/>
      <c r="E31" s="215"/>
      <c r="F31" s="215"/>
      <c r="G31" s="215"/>
      <c r="H31" s="215"/>
      <c r="I31" s="215"/>
      <c r="J31" s="15"/>
      <c r="K31" s="215">
        <f>DATE(Anopri,11,1)</f>
        <v>43770</v>
      </c>
      <c r="L31" s="215"/>
      <c r="M31" s="215"/>
      <c r="N31" s="215"/>
      <c r="O31" s="215"/>
      <c r="P31" s="215"/>
      <c r="Q31" s="215"/>
      <c r="R31" s="15"/>
      <c r="S31" s="215">
        <f>DATE(Anopri,12,1)</f>
        <v>43800</v>
      </c>
      <c r="T31" s="215"/>
      <c r="U31" s="215"/>
      <c r="V31" s="215"/>
      <c r="W31" s="215"/>
      <c r="X31" s="215"/>
      <c r="Y31" s="215"/>
      <c r="Z31" s="7"/>
      <c r="AA31" s="214"/>
    </row>
    <row r="32" spans="1:27" s="20" customFormat="1" ht="20.6" customHeight="1" thickBot="1" x14ac:dyDescent="0.35">
      <c r="A32" s="10"/>
      <c r="B32" s="17"/>
      <c r="C32" s="216" t="str">
        <f>CHOOSE(MONTH(C4),"OCTOBRE")</f>
        <v>OCTOBRE</v>
      </c>
      <c r="D32" s="217"/>
      <c r="E32" s="217"/>
      <c r="F32" s="217"/>
      <c r="G32" s="217"/>
      <c r="H32" s="217"/>
      <c r="I32" s="218"/>
      <c r="J32" s="10"/>
      <c r="K32" s="216" t="str">
        <f>CHOOSE(MONTH(C4),"NOVEMBRE")</f>
        <v>NOVEMBRE</v>
      </c>
      <c r="L32" s="217"/>
      <c r="M32" s="217"/>
      <c r="N32" s="217"/>
      <c r="O32" s="217"/>
      <c r="P32" s="217"/>
      <c r="Q32" s="218"/>
      <c r="R32" s="10"/>
      <c r="S32" s="216" t="str">
        <f>CHOOSE(MONTH(C4),"DÉCEMBRE")</f>
        <v>DÉCEMBRE</v>
      </c>
      <c r="T32" s="217"/>
      <c r="U32" s="217"/>
      <c r="V32" s="217"/>
      <c r="W32" s="217"/>
      <c r="X32" s="217"/>
      <c r="Y32" s="218"/>
      <c r="Z32" s="19"/>
      <c r="AA32" s="214"/>
    </row>
    <row r="33" spans="1:27" s="20" customFormat="1" ht="16.350000000000001" customHeight="1" thickBot="1" x14ac:dyDescent="0.35">
      <c r="A33" s="10"/>
      <c r="B33" s="51"/>
      <c r="C33" s="21" t="str">
        <f t="shared" ref="C33:I33" si="72">CHOOSE(COLUMN(A$1)+(Débutsempri="Lundi"),"Di","Lu","Ma","Me","Je","Ve","Sa","Di")</f>
        <v>Lu</v>
      </c>
      <c r="D33" s="21" t="str">
        <f t="shared" si="72"/>
        <v>Ma</v>
      </c>
      <c r="E33" s="21" t="str">
        <f t="shared" si="72"/>
        <v>Me</v>
      </c>
      <c r="F33" s="21" t="str">
        <f t="shared" si="72"/>
        <v>Je</v>
      </c>
      <c r="G33" s="21" t="str">
        <f t="shared" si="72"/>
        <v>Ve</v>
      </c>
      <c r="H33" s="31" t="str">
        <f t="shared" si="72"/>
        <v>Sa</v>
      </c>
      <c r="I33" s="32" t="str">
        <f t="shared" si="72"/>
        <v>Di</v>
      </c>
      <c r="J33" s="27"/>
      <c r="K33" s="21" t="str">
        <f t="shared" ref="K33:Q33" si="73">CHOOSE(COLUMN(A$1)+(Débutsempri="Lundi"),"Di","Lu","Ma","Me","Je","Ve","Sa","Di")</f>
        <v>Lu</v>
      </c>
      <c r="L33" s="21" t="str">
        <f t="shared" si="73"/>
        <v>Ma</v>
      </c>
      <c r="M33" s="21" t="str">
        <f t="shared" si="73"/>
        <v>Me</v>
      </c>
      <c r="N33" s="21" t="str">
        <f t="shared" si="73"/>
        <v>Je</v>
      </c>
      <c r="O33" s="21" t="str">
        <f t="shared" si="73"/>
        <v>Ve</v>
      </c>
      <c r="P33" s="31" t="str">
        <f t="shared" si="73"/>
        <v>Sa</v>
      </c>
      <c r="Q33" s="32" t="str">
        <f t="shared" si="73"/>
        <v>Di</v>
      </c>
      <c r="R33" s="27"/>
      <c r="S33" s="21" t="str">
        <f t="shared" ref="S33:Y33" si="74">CHOOSE(COLUMN(A$1)+(Débutsempri="Lundi"),"Di","Lu","Ma","Me","Je","Ve","Sa","Di")</f>
        <v>Lu</v>
      </c>
      <c r="T33" s="21" t="str">
        <f t="shared" si="74"/>
        <v>Ma</v>
      </c>
      <c r="U33" s="21" t="str">
        <f t="shared" si="74"/>
        <v>Me</v>
      </c>
      <c r="V33" s="21" t="str">
        <f t="shared" si="74"/>
        <v>Je</v>
      </c>
      <c r="W33" s="21" t="str">
        <f t="shared" si="74"/>
        <v>Ve</v>
      </c>
      <c r="X33" s="31" t="str">
        <f t="shared" si="74"/>
        <v>Sa</v>
      </c>
      <c r="Y33" s="32" t="str">
        <f t="shared" si="74"/>
        <v>Di</v>
      </c>
      <c r="Z33" s="33"/>
      <c r="AA33" s="214"/>
    </row>
    <row r="34" spans="1:27" ht="20.6" customHeight="1" x14ac:dyDescent="0.3">
      <c r="A34" s="15"/>
      <c r="B34" s="8"/>
      <c r="C34" s="35">
        <f t="shared" ref="C34:C39" si="75">DATE(Anopri,MONTH($C$31),1)-WEEKDAY(DATE(Anopri,MONTH($C$31),1),(Débutsempri="Lundi")+1)+$A25*7-6</f>
        <v>43738</v>
      </c>
      <c r="D34" s="36">
        <f t="shared" ref="D34:D39" si="76">DATE(Anopri,MONTH($C$31),1)-WEEKDAY(DATE(Anopri,MONTH($C$31),1),(Débutsempri="Lundi")+1)+$A25*7-5</f>
        <v>43739</v>
      </c>
      <c r="E34" s="36">
        <f t="shared" ref="E34:E39" si="77">DATE(Anopri,MONTH($C$31),1)-WEEKDAY(DATE(Anopri,MONTH($C$31),1),(Débutsempri="Lundi")+1)+$A25*7-4</f>
        <v>43740</v>
      </c>
      <c r="F34" s="36">
        <f t="shared" ref="F34:F39" si="78">DATE(Anopri,MONTH($C$31),1)-WEEKDAY(DATE(Anopri,MONTH($C$31),1),(Débutsempri="Lundi")+1)+$A25*7-3</f>
        <v>43741</v>
      </c>
      <c r="G34" s="36">
        <f t="shared" ref="G34:G39" si="79">DATE(Anopri,MONTH($C$31),1)-WEEKDAY(DATE(Anopri,MONTH($C$31),1),(Débutsempri="Lundi")+1)+$A25*7-2</f>
        <v>43742</v>
      </c>
      <c r="H34" s="37">
        <f t="shared" ref="H34:H39" si="80">DATE(Anopri,MONTH($C$31),1)-WEEKDAY(DATE(Anopri,MONTH($C$31),1),(Débutsempri="Lundi")+1)+$A25*7-1</f>
        <v>43743</v>
      </c>
      <c r="I34" s="38">
        <f t="shared" ref="I34:I39" si="81">DATE(Anopri,MONTH($C$31),1)-WEEKDAY(DATE(Anopri,MONTH($C$31),1),(Débutsempri="Lundi")+1)+$A25*7</f>
        <v>43744</v>
      </c>
      <c r="J34" s="15"/>
      <c r="K34" s="35">
        <f t="shared" ref="K34:K39" si="82">DATE(Anopri,MONTH($K$31),1)-WEEKDAY(DATE(Anopri,MONTH($K$31),1),(Débutsempri="Lundi")+1)+$A25*7-6</f>
        <v>43766</v>
      </c>
      <c r="L34" s="36">
        <f t="shared" ref="L34:L39" si="83">DATE(Anopri,MONTH($K$31),1)-WEEKDAY(DATE(Anopri,MONTH($K$31),1),(Débutsempri="Lundi")+1)+$A25*7-5</f>
        <v>43767</v>
      </c>
      <c r="M34" s="36">
        <f t="shared" ref="M34:M39" si="84">DATE(Anopri,MONTH($K$31),1)-WEEKDAY(DATE(Anopri,MONTH($K$31),1),(Débutsempri="Lundi")+1)+$A25*7-4</f>
        <v>43768</v>
      </c>
      <c r="N34" s="36">
        <f t="shared" ref="N34:N39" si="85">DATE(Anopri,MONTH($K$31),1)-WEEKDAY(DATE(Anopri,MONTH($K$31),1),(Débutsempri="Lundi")+1)+$A25*7-3</f>
        <v>43769</v>
      </c>
      <c r="O34" s="36">
        <f t="shared" ref="O34:O39" si="86">DATE(Anopri,MONTH($K$31),1)-WEEKDAY(DATE(Anopri,MONTH($K$31),1),(Débutsempri="Lundi")+1)+$A25*7-2</f>
        <v>43770</v>
      </c>
      <c r="P34" s="37">
        <f t="shared" ref="P34:P39" si="87">DATE(Anopri,MONTH($K$31),1)-WEEKDAY(DATE(Anopri,MONTH($K$31),1),(Débutsempri="Lundi")+1)+$A25*7-1</f>
        <v>43771</v>
      </c>
      <c r="Q34" s="38">
        <f t="shared" ref="Q34:Q39" si="88">DATE(Anopri,MONTH($K$31),1)-WEEKDAY(DATE(Anopri,MONTH($K$31),1),(Débutsempri="Lundi")+1)+$A25*7</f>
        <v>43772</v>
      </c>
      <c r="R34" s="15"/>
      <c r="S34" s="35">
        <f t="shared" ref="S34:S39" si="89">DATE(Anopri,MONTH($S$31),1)-WEEKDAY(DATE(Anopri,MONTH($S$31),1),(Débutsempri="Lundi")+1)+$A25*7-6</f>
        <v>43794</v>
      </c>
      <c r="T34" s="36">
        <f t="shared" ref="T34:T39" si="90">DATE(Anopri,MONTH($S$31),1)-WEEKDAY(DATE(Anopri,MONTH($S$31),1),(Débutsempri="Lundi")+1)+$A25*7-5</f>
        <v>43795</v>
      </c>
      <c r="U34" s="36">
        <f t="shared" ref="U34:U39" si="91">DATE(Anopri,MONTH($S$31),1)-WEEKDAY(DATE(Anopri,MONTH($S$31),1),(Débutsempri="Lundi")+1)+$A25*7-4</f>
        <v>43796</v>
      </c>
      <c r="V34" s="36">
        <f t="shared" ref="V34:V39" si="92">DATE(Anopri,MONTH($S$31),1)-WEEKDAY(DATE(Anopri,MONTH($S$31),1),(Débutsempri="Lundi")+1)+$A25*7-3</f>
        <v>43797</v>
      </c>
      <c r="W34" s="36">
        <f t="shared" ref="W34:W39" si="93">DATE(Anopri,MONTH($S$31),1)-WEEKDAY(DATE(Anopri,MONTH($S$31),1),(Débutsempri="Lundi")+1)+$A25*7-2</f>
        <v>43798</v>
      </c>
      <c r="X34" s="37">
        <f t="shared" ref="X34:X39" si="94">DATE(Anopri,MONTH($S$31),1)-WEEKDAY(DATE(Anopri,MONTH($S$31),1),(Débutsempri="Lundi")+1)+$A25*7-1</f>
        <v>43799</v>
      </c>
      <c r="Y34" s="38">
        <f t="shared" ref="Y34:Y39" si="95">DATE(Anopri,MONTH($S$31),1)-WEEKDAY(DATE(Anopri,MONTH($S$31),1),(Débutsempri="Lundi")+1)+$A25*7</f>
        <v>43800</v>
      </c>
      <c r="Z34" s="14"/>
      <c r="AA34" s="214"/>
    </row>
    <row r="35" spans="1:27" ht="20.6" customHeight="1" x14ac:dyDescent="0.3">
      <c r="A35" s="15"/>
      <c r="B35" s="8"/>
      <c r="C35" s="39">
        <f t="shared" si="75"/>
        <v>43745</v>
      </c>
      <c r="D35" s="40">
        <f t="shared" si="76"/>
        <v>43746</v>
      </c>
      <c r="E35" s="40">
        <f t="shared" si="77"/>
        <v>43747</v>
      </c>
      <c r="F35" s="40">
        <f t="shared" si="78"/>
        <v>43748</v>
      </c>
      <c r="G35" s="40">
        <f t="shared" si="79"/>
        <v>43749</v>
      </c>
      <c r="H35" s="41">
        <f t="shared" si="80"/>
        <v>43750</v>
      </c>
      <c r="I35" s="42">
        <f t="shared" si="81"/>
        <v>43751</v>
      </c>
      <c r="J35" s="15"/>
      <c r="K35" s="39">
        <f t="shared" si="82"/>
        <v>43773</v>
      </c>
      <c r="L35" s="40">
        <f t="shared" si="83"/>
        <v>43774</v>
      </c>
      <c r="M35" s="40">
        <f t="shared" si="84"/>
        <v>43775</v>
      </c>
      <c r="N35" s="40">
        <f t="shared" si="85"/>
        <v>43776</v>
      </c>
      <c r="O35" s="40">
        <f t="shared" si="86"/>
        <v>43777</v>
      </c>
      <c r="P35" s="41">
        <f t="shared" si="87"/>
        <v>43778</v>
      </c>
      <c r="Q35" s="42">
        <f t="shared" si="88"/>
        <v>43779</v>
      </c>
      <c r="R35" s="15"/>
      <c r="S35" s="39">
        <f t="shared" si="89"/>
        <v>43801</v>
      </c>
      <c r="T35" s="40">
        <f t="shared" si="90"/>
        <v>43802</v>
      </c>
      <c r="U35" s="40">
        <f t="shared" si="91"/>
        <v>43803</v>
      </c>
      <c r="V35" s="40">
        <f t="shared" si="92"/>
        <v>43804</v>
      </c>
      <c r="W35" s="40">
        <f t="shared" si="93"/>
        <v>43805</v>
      </c>
      <c r="X35" s="41">
        <f t="shared" si="94"/>
        <v>43806</v>
      </c>
      <c r="Y35" s="42">
        <f t="shared" si="95"/>
        <v>43807</v>
      </c>
      <c r="Z35" s="14"/>
      <c r="AA35" s="214"/>
    </row>
    <row r="36" spans="1:27" ht="20.6" customHeight="1" x14ac:dyDescent="0.3">
      <c r="A36" s="15"/>
      <c r="B36" s="8"/>
      <c r="C36" s="39">
        <f t="shared" si="75"/>
        <v>43752</v>
      </c>
      <c r="D36" s="40">
        <f t="shared" si="76"/>
        <v>43753</v>
      </c>
      <c r="E36" s="40">
        <f t="shared" si="77"/>
        <v>43754</v>
      </c>
      <c r="F36" s="40">
        <f t="shared" si="78"/>
        <v>43755</v>
      </c>
      <c r="G36" s="40">
        <f t="shared" si="79"/>
        <v>43756</v>
      </c>
      <c r="H36" s="41">
        <f t="shared" si="80"/>
        <v>43757</v>
      </c>
      <c r="I36" s="42">
        <f t="shared" si="81"/>
        <v>43758</v>
      </c>
      <c r="J36" s="15"/>
      <c r="K36" s="39">
        <f t="shared" si="82"/>
        <v>43780</v>
      </c>
      <c r="L36" s="40">
        <f t="shared" si="83"/>
        <v>43781</v>
      </c>
      <c r="M36" s="40">
        <f t="shared" si="84"/>
        <v>43782</v>
      </c>
      <c r="N36" s="40">
        <f t="shared" si="85"/>
        <v>43783</v>
      </c>
      <c r="O36" s="40">
        <f t="shared" si="86"/>
        <v>43784</v>
      </c>
      <c r="P36" s="41">
        <f t="shared" si="87"/>
        <v>43785</v>
      </c>
      <c r="Q36" s="42">
        <f t="shared" si="88"/>
        <v>43786</v>
      </c>
      <c r="R36" s="15"/>
      <c r="S36" s="39">
        <f t="shared" si="89"/>
        <v>43808</v>
      </c>
      <c r="T36" s="40">
        <f t="shared" si="90"/>
        <v>43809</v>
      </c>
      <c r="U36" s="40">
        <f t="shared" si="91"/>
        <v>43810</v>
      </c>
      <c r="V36" s="40">
        <f t="shared" si="92"/>
        <v>43811</v>
      </c>
      <c r="W36" s="40">
        <f t="shared" si="93"/>
        <v>43812</v>
      </c>
      <c r="X36" s="41">
        <f t="shared" si="94"/>
        <v>43813</v>
      </c>
      <c r="Y36" s="42">
        <f t="shared" si="95"/>
        <v>43814</v>
      </c>
      <c r="Z36" s="14"/>
      <c r="AA36" s="214"/>
    </row>
    <row r="37" spans="1:27" ht="20.6" customHeight="1" x14ac:dyDescent="0.3">
      <c r="A37" s="15"/>
      <c r="B37" s="8"/>
      <c r="C37" s="39">
        <f t="shared" si="75"/>
        <v>43759</v>
      </c>
      <c r="D37" s="40">
        <f t="shared" si="76"/>
        <v>43760</v>
      </c>
      <c r="E37" s="40">
        <f t="shared" si="77"/>
        <v>43761</v>
      </c>
      <c r="F37" s="40">
        <f t="shared" si="78"/>
        <v>43762</v>
      </c>
      <c r="G37" s="40">
        <f t="shared" si="79"/>
        <v>43763</v>
      </c>
      <c r="H37" s="41">
        <f t="shared" si="80"/>
        <v>43764</v>
      </c>
      <c r="I37" s="42">
        <f t="shared" si="81"/>
        <v>43765</v>
      </c>
      <c r="J37" s="15"/>
      <c r="K37" s="39">
        <f t="shared" si="82"/>
        <v>43787</v>
      </c>
      <c r="L37" s="40">
        <f t="shared" si="83"/>
        <v>43788</v>
      </c>
      <c r="M37" s="40">
        <f t="shared" si="84"/>
        <v>43789</v>
      </c>
      <c r="N37" s="40">
        <f t="shared" si="85"/>
        <v>43790</v>
      </c>
      <c r="O37" s="40">
        <f t="shared" si="86"/>
        <v>43791</v>
      </c>
      <c r="P37" s="41">
        <f t="shared" si="87"/>
        <v>43792</v>
      </c>
      <c r="Q37" s="42">
        <f t="shared" si="88"/>
        <v>43793</v>
      </c>
      <c r="R37" s="15"/>
      <c r="S37" s="39">
        <f t="shared" si="89"/>
        <v>43815</v>
      </c>
      <c r="T37" s="40">
        <f t="shared" si="90"/>
        <v>43816</v>
      </c>
      <c r="U37" s="40">
        <f t="shared" si="91"/>
        <v>43817</v>
      </c>
      <c r="V37" s="40">
        <f t="shared" si="92"/>
        <v>43818</v>
      </c>
      <c r="W37" s="40">
        <f t="shared" si="93"/>
        <v>43819</v>
      </c>
      <c r="X37" s="41">
        <f t="shared" si="94"/>
        <v>43820</v>
      </c>
      <c r="Y37" s="42">
        <f t="shared" si="95"/>
        <v>43821</v>
      </c>
      <c r="Z37" s="14"/>
      <c r="AA37" s="214"/>
    </row>
    <row r="38" spans="1:27" ht="20.6" customHeight="1" x14ac:dyDescent="0.3">
      <c r="A38" s="15"/>
      <c r="B38" s="8"/>
      <c r="C38" s="39">
        <f t="shared" si="75"/>
        <v>43766</v>
      </c>
      <c r="D38" s="40">
        <f t="shared" si="76"/>
        <v>43767</v>
      </c>
      <c r="E38" s="40">
        <f t="shared" si="77"/>
        <v>43768</v>
      </c>
      <c r="F38" s="40">
        <f t="shared" si="78"/>
        <v>43769</v>
      </c>
      <c r="G38" s="40">
        <f t="shared" si="79"/>
        <v>43770</v>
      </c>
      <c r="H38" s="41">
        <f t="shared" si="80"/>
        <v>43771</v>
      </c>
      <c r="I38" s="42">
        <f t="shared" si="81"/>
        <v>43772</v>
      </c>
      <c r="J38" s="15"/>
      <c r="K38" s="39">
        <f t="shared" si="82"/>
        <v>43794</v>
      </c>
      <c r="L38" s="40">
        <f t="shared" si="83"/>
        <v>43795</v>
      </c>
      <c r="M38" s="40">
        <f t="shared" si="84"/>
        <v>43796</v>
      </c>
      <c r="N38" s="40">
        <f t="shared" si="85"/>
        <v>43797</v>
      </c>
      <c r="O38" s="40">
        <f t="shared" si="86"/>
        <v>43798</v>
      </c>
      <c r="P38" s="41">
        <f t="shared" si="87"/>
        <v>43799</v>
      </c>
      <c r="Q38" s="42">
        <f t="shared" si="88"/>
        <v>43800</v>
      </c>
      <c r="R38" s="15"/>
      <c r="S38" s="39">
        <f t="shared" si="89"/>
        <v>43822</v>
      </c>
      <c r="T38" s="40">
        <f t="shared" si="90"/>
        <v>43823</v>
      </c>
      <c r="U38" s="40">
        <f t="shared" si="91"/>
        <v>43824</v>
      </c>
      <c r="V38" s="40">
        <f t="shared" si="92"/>
        <v>43825</v>
      </c>
      <c r="W38" s="40">
        <f t="shared" si="93"/>
        <v>43826</v>
      </c>
      <c r="X38" s="41">
        <f t="shared" si="94"/>
        <v>43827</v>
      </c>
      <c r="Y38" s="42">
        <f t="shared" si="95"/>
        <v>43828</v>
      </c>
      <c r="Z38" s="14"/>
      <c r="AA38" s="214"/>
    </row>
    <row r="39" spans="1:27" ht="20.6" customHeight="1" thickBot="1" x14ac:dyDescent="0.35">
      <c r="A39" s="15"/>
      <c r="B39" s="8"/>
      <c r="C39" s="45">
        <f t="shared" si="75"/>
        <v>43773</v>
      </c>
      <c r="D39" s="46">
        <f t="shared" si="76"/>
        <v>43774</v>
      </c>
      <c r="E39" s="46">
        <f t="shared" si="77"/>
        <v>43775</v>
      </c>
      <c r="F39" s="46">
        <f t="shared" si="78"/>
        <v>43776</v>
      </c>
      <c r="G39" s="46">
        <f t="shared" si="79"/>
        <v>43777</v>
      </c>
      <c r="H39" s="47">
        <f t="shared" si="80"/>
        <v>43778</v>
      </c>
      <c r="I39" s="48">
        <f t="shared" si="81"/>
        <v>43779</v>
      </c>
      <c r="J39" s="15"/>
      <c r="K39" s="45">
        <f t="shared" si="82"/>
        <v>43801</v>
      </c>
      <c r="L39" s="46">
        <f t="shared" si="83"/>
        <v>43802</v>
      </c>
      <c r="M39" s="46">
        <f t="shared" si="84"/>
        <v>43803</v>
      </c>
      <c r="N39" s="46">
        <f t="shared" si="85"/>
        <v>43804</v>
      </c>
      <c r="O39" s="46">
        <f t="shared" si="86"/>
        <v>43805</v>
      </c>
      <c r="P39" s="47">
        <f t="shared" si="87"/>
        <v>43806</v>
      </c>
      <c r="Q39" s="48">
        <f t="shared" si="88"/>
        <v>43807</v>
      </c>
      <c r="R39" s="15"/>
      <c r="S39" s="45">
        <f t="shared" si="89"/>
        <v>43829</v>
      </c>
      <c r="T39" s="46">
        <f t="shared" si="90"/>
        <v>43830</v>
      </c>
      <c r="U39" s="46">
        <f t="shared" si="91"/>
        <v>43831</v>
      </c>
      <c r="V39" s="46">
        <f t="shared" si="92"/>
        <v>43832</v>
      </c>
      <c r="W39" s="46">
        <f t="shared" si="93"/>
        <v>43833</v>
      </c>
      <c r="X39" s="47">
        <f t="shared" si="94"/>
        <v>43834</v>
      </c>
      <c r="Y39" s="48">
        <f t="shared" si="95"/>
        <v>43835</v>
      </c>
      <c r="Z39" s="14"/>
      <c r="AA39" s="214"/>
    </row>
    <row r="40" spans="1:27" ht="8.5" customHeight="1" thickBot="1" x14ac:dyDescent="0.35">
      <c r="A40" s="15"/>
      <c r="B40" s="58"/>
      <c r="C40" s="59"/>
      <c r="D40" s="59"/>
      <c r="E40" s="59"/>
      <c r="F40" s="59"/>
      <c r="G40" s="59"/>
      <c r="H40" s="59"/>
      <c r="I40" s="59"/>
      <c r="J40" s="60"/>
      <c r="K40" s="59"/>
      <c r="L40" s="59"/>
      <c r="M40" s="59"/>
      <c r="N40" s="59"/>
      <c r="O40" s="59"/>
      <c r="P40" s="59"/>
      <c r="Q40" s="59"/>
      <c r="R40" s="60"/>
      <c r="S40" s="59"/>
      <c r="T40" s="59"/>
      <c r="U40" s="59"/>
      <c r="V40" s="59"/>
      <c r="W40" s="59"/>
      <c r="X40" s="59"/>
      <c r="Y40" s="59"/>
      <c r="Z40" s="61"/>
      <c r="AA40" s="214"/>
    </row>
    <row r="41" spans="1:27" ht="7.3" customHeight="1" x14ac:dyDescent="0.3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</row>
  </sheetData>
  <sheetProtection algorithmName="SHA-512" hashValue="7Q7uflKZKq++SYpFQkuSQCmbhtlpVsnjBn0eDTnZpCgqR3CKq6QfnUbHNCmvOJjtTLm6u24SvjJKFSLoZqD2ag==" saltValue="T9symymONAfUHD1/qXZhKQ==" spinCount="100000" sheet="1" objects="1" scenarios="1"/>
  <mergeCells count="30">
    <mergeCell ref="A1:AA1"/>
    <mergeCell ref="AA2:AA40"/>
    <mergeCell ref="K3:Q3"/>
    <mergeCell ref="T3:X3"/>
    <mergeCell ref="C4:I4"/>
    <mergeCell ref="K4:Q4"/>
    <mergeCell ref="S4:Y4"/>
    <mergeCell ref="C5:I5"/>
    <mergeCell ref="K5:Q5"/>
    <mergeCell ref="S5:Y5"/>
    <mergeCell ref="C13:I13"/>
    <mergeCell ref="K13:Q13"/>
    <mergeCell ref="S13:Y13"/>
    <mergeCell ref="C14:I14"/>
    <mergeCell ref="K14:Q14"/>
    <mergeCell ref="S14:Y14"/>
    <mergeCell ref="D3:H3"/>
    <mergeCell ref="A41:AA41"/>
    <mergeCell ref="C31:I31"/>
    <mergeCell ref="K31:Q31"/>
    <mergeCell ref="S31:Y31"/>
    <mergeCell ref="C32:I32"/>
    <mergeCell ref="K32:Q32"/>
    <mergeCell ref="S32:Y32"/>
    <mergeCell ref="C22:I22"/>
    <mergeCell ref="K22:Q22"/>
    <mergeCell ref="S22:Y22"/>
    <mergeCell ref="C23:I23"/>
    <mergeCell ref="K23:Q23"/>
    <mergeCell ref="S23:Y23"/>
  </mergeCells>
  <conditionalFormatting sqref="C7:I7">
    <cfRule type="expression" dxfId="241" priority="25">
      <formula>DAY(C7)&gt;7</formula>
    </cfRule>
  </conditionalFormatting>
  <conditionalFormatting sqref="C11:I12">
    <cfRule type="expression" dxfId="240" priority="13">
      <formula>DAY(C11)&lt;15</formula>
    </cfRule>
  </conditionalFormatting>
  <conditionalFormatting sqref="K7:Q7">
    <cfRule type="expression" dxfId="239" priority="24">
      <formula>DAY(K7)&gt;7</formula>
    </cfRule>
  </conditionalFormatting>
  <conditionalFormatting sqref="K11:Q12">
    <cfRule type="expression" dxfId="238" priority="12">
      <formula>DAY(K11)&lt;15</formula>
    </cfRule>
  </conditionalFormatting>
  <conditionalFormatting sqref="S7:Y7">
    <cfRule type="expression" dxfId="237" priority="23">
      <formula>DAY(S7)&gt;7</formula>
    </cfRule>
  </conditionalFormatting>
  <conditionalFormatting sqref="C20:I21">
    <cfRule type="expression" dxfId="236" priority="10">
      <formula>DAY(C20)&lt;15</formula>
    </cfRule>
  </conditionalFormatting>
  <conditionalFormatting sqref="C16:I16">
    <cfRule type="expression" dxfId="235" priority="22">
      <formula>DAY(C16)&gt;7</formula>
    </cfRule>
  </conditionalFormatting>
  <conditionalFormatting sqref="K16:Q16">
    <cfRule type="expression" dxfId="234" priority="21">
      <formula>DAY(K16)&gt;7</formula>
    </cfRule>
  </conditionalFormatting>
  <conditionalFormatting sqref="S16:Y16">
    <cfRule type="expression" dxfId="233" priority="20">
      <formula>DAY(S16)&gt;7</formula>
    </cfRule>
  </conditionalFormatting>
  <conditionalFormatting sqref="C25:I25">
    <cfRule type="expression" dxfId="232" priority="19">
      <formula>DAY(C25)&gt;7</formula>
    </cfRule>
  </conditionalFormatting>
  <conditionalFormatting sqref="K25:Q25">
    <cfRule type="expression" dxfId="231" priority="18">
      <formula>DAY(K25)&gt;7</formula>
    </cfRule>
  </conditionalFormatting>
  <conditionalFormatting sqref="S25:Y25">
    <cfRule type="expression" dxfId="230" priority="17">
      <formula>DAY(S25)&gt;7</formula>
    </cfRule>
  </conditionalFormatting>
  <conditionalFormatting sqref="S11:Y12">
    <cfRule type="expression" dxfId="229" priority="11">
      <formula>DAY(S11)&lt;15</formula>
    </cfRule>
  </conditionalFormatting>
  <conditionalFormatting sqref="K20:Q21">
    <cfRule type="expression" dxfId="228" priority="9">
      <formula>DAY(K20)&lt;15</formula>
    </cfRule>
  </conditionalFormatting>
  <conditionalFormatting sqref="S20:Y21">
    <cfRule type="expression" dxfId="227" priority="8">
      <formula>DAY(S20)&lt;15</formula>
    </cfRule>
  </conditionalFormatting>
  <conditionalFormatting sqref="C29:I30">
    <cfRule type="expression" dxfId="226" priority="7">
      <formula>DAY(C29)&lt;15</formula>
    </cfRule>
  </conditionalFormatting>
  <conditionalFormatting sqref="K29:Q30">
    <cfRule type="expression" dxfId="225" priority="6">
      <formula>DAY(K29)&lt;15</formula>
    </cfRule>
  </conditionalFormatting>
  <conditionalFormatting sqref="S29:Y30">
    <cfRule type="expression" dxfId="224" priority="5">
      <formula>DAY(S29)&lt;15</formula>
    </cfRule>
  </conditionalFormatting>
  <conditionalFormatting sqref="C38:I39">
    <cfRule type="expression" dxfId="223" priority="4">
      <formula>DAY(C38)&lt;15</formula>
    </cfRule>
  </conditionalFormatting>
  <conditionalFormatting sqref="K38:Q39">
    <cfRule type="expression" dxfId="222" priority="3">
      <formula>DAY(K38)&lt;15</formula>
    </cfRule>
  </conditionalFormatting>
  <conditionalFormatting sqref="S38:Y39">
    <cfRule type="expression" dxfId="221" priority="1">
      <formula>DAY(S38)&lt;15</formula>
    </cfRule>
  </conditionalFormatting>
  <conditionalFormatting sqref="C34:I34">
    <cfRule type="expression" dxfId="220" priority="16">
      <formula>DAY(C34)&gt;7</formula>
    </cfRule>
  </conditionalFormatting>
  <conditionalFormatting sqref="K34:Q34">
    <cfRule type="expression" dxfId="219" priority="15">
      <formula>DAY(K34)&gt;7</formula>
    </cfRule>
  </conditionalFormatting>
  <conditionalFormatting sqref="S34:Y34">
    <cfRule type="expression" dxfId="218" priority="14">
      <formula>DAY(S34)&gt;7</formula>
    </cfRule>
  </conditionalFormatting>
  <conditionalFormatting sqref="C7:I12 K7:Q12 S7:Y12 C16:I21 K16:Q21 S16:Y21 C25:I30 K25:Q30 S25:Y30 C34:I39 K34:Q39 S34:Y39">
    <cfRule type="expression" dxfId="217" priority="26">
      <formula>C7=TODAY()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A21A-97F4-461C-8B40-C336A3E670C9}">
  <dimension ref="A1:AA41"/>
  <sheetViews>
    <sheetView zoomScaleNormal="100" workbookViewId="0">
      <selection activeCell="D3" sqref="D3:H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7" ht="7.3" customHeight="1" thickBot="1" x14ac:dyDescent="0.3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</row>
    <row r="2" spans="1:27" ht="8.5" customHeight="1" thickBot="1" x14ac:dyDescent="0.35">
      <c r="A2" s="2"/>
      <c r="B2" s="3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6"/>
      <c r="AA2" s="214"/>
    </row>
    <row r="3" spans="1:27" ht="21.8" customHeight="1" thickTop="1" thickBot="1" x14ac:dyDescent="0.35">
      <c r="A3" s="7"/>
      <c r="B3" s="8"/>
      <c r="C3" s="159"/>
      <c r="D3" s="213" t="str">
        <f>IF($I$3,"Année bissextile","")</f>
        <v/>
      </c>
      <c r="E3" s="213"/>
      <c r="F3" s="213"/>
      <c r="G3" s="213"/>
      <c r="H3" s="213"/>
      <c r="I3" s="149" t="b">
        <f>DAY(DATE(YEAR(K7),3,0))=29</f>
        <v>0</v>
      </c>
      <c r="J3" s="11"/>
      <c r="K3" s="222">
        <v>2019</v>
      </c>
      <c r="L3" s="223"/>
      <c r="M3" s="223"/>
      <c r="N3" s="223"/>
      <c r="O3" s="223"/>
      <c r="P3" s="223"/>
      <c r="Q3" s="223"/>
      <c r="R3" s="12"/>
      <c r="S3" s="13"/>
      <c r="T3" s="224"/>
      <c r="U3" s="224"/>
      <c r="V3" s="224"/>
      <c r="W3" s="224"/>
      <c r="X3" s="224"/>
      <c r="Y3" s="10"/>
      <c r="Z3" s="14"/>
      <c r="AA3" s="214"/>
    </row>
    <row r="4" spans="1:27" ht="12.1" customHeight="1" thickTop="1" thickBot="1" x14ac:dyDescent="0.35">
      <c r="A4" s="15"/>
      <c r="B4" s="8"/>
      <c r="C4" s="215">
        <f>DATE(Anolu,1,1)</f>
        <v>43466</v>
      </c>
      <c r="D4" s="215"/>
      <c r="E4" s="215"/>
      <c r="F4" s="215"/>
      <c r="G4" s="215"/>
      <c r="H4" s="215"/>
      <c r="I4" s="215"/>
      <c r="J4" s="15"/>
      <c r="K4" s="225">
        <f>DATE(Anolu,2,1)</f>
        <v>43497</v>
      </c>
      <c r="L4" s="225"/>
      <c r="M4" s="225"/>
      <c r="N4" s="225"/>
      <c r="O4" s="225"/>
      <c r="P4" s="225"/>
      <c r="Q4" s="225"/>
      <c r="R4" s="16"/>
      <c r="S4" s="215">
        <f>DATE(Anolu,3,1)</f>
        <v>43525</v>
      </c>
      <c r="T4" s="215"/>
      <c r="U4" s="215"/>
      <c r="V4" s="215"/>
      <c r="W4" s="215"/>
      <c r="X4" s="215"/>
      <c r="Y4" s="215"/>
      <c r="Z4" s="7"/>
      <c r="AA4" s="214"/>
    </row>
    <row r="5" spans="1:27" s="20" customFormat="1" ht="20.6" customHeight="1" thickBot="1" x14ac:dyDescent="0.35">
      <c r="A5" s="10"/>
      <c r="B5" s="17"/>
      <c r="C5" s="216" t="str">
        <f>CHOOSE(MONTH(C4),"JANVIER")</f>
        <v>JANVIER</v>
      </c>
      <c r="D5" s="217"/>
      <c r="E5" s="217"/>
      <c r="F5" s="217"/>
      <c r="G5" s="217"/>
      <c r="H5" s="217"/>
      <c r="I5" s="218"/>
      <c r="J5" s="18" t="s">
        <v>0</v>
      </c>
      <c r="K5" s="216" t="str">
        <f>CHOOSE(MONTH(C4),"FÉVRIER")</f>
        <v>FÉVRIER</v>
      </c>
      <c r="L5" s="217"/>
      <c r="M5" s="217"/>
      <c r="N5" s="217"/>
      <c r="O5" s="217"/>
      <c r="P5" s="217"/>
      <c r="Q5" s="218"/>
      <c r="R5" s="10"/>
      <c r="S5" s="216" t="str">
        <f>CHOOSE(MONTH(C4),"MARS")</f>
        <v>MARS</v>
      </c>
      <c r="T5" s="217"/>
      <c r="U5" s="217"/>
      <c r="V5" s="217"/>
      <c r="W5" s="217"/>
      <c r="X5" s="217"/>
      <c r="Y5" s="218"/>
      <c r="Z5" s="19"/>
      <c r="AA5" s="214"/>
    </row>
    <row r="6" spans="1:27" s="20" customFormat="1" ht="16.350000000000001" customHeight="1" thickBot="1" x14ac:dyDescent="0.35">
      <c r="A6" s="10"/>
      <c r="B6" s="17"/>
      <c r="C6" s="74" t="s">
        <v>113</v>
      </c>
      <c r="D6" s="74" t="s">
        <v>114</v>
      </c>
      <c r="E6" s="74" t="s">
        <v>115</v>
      </c>
      <c r="F6" s="74" t="s">
        <v>116</v>
      </c>
      <c r="G6" s="74" t="s">
        <v>117</v>
      </c>
      <c r="H6" s="80" t="s">
        <v>118</v>
      </c>
      <c r="I6" s="80" t="s">
        <v>119</v>
      </c>
      <c r="J6" s="27"/>
      <c r="K6" s="74" t="s">
        <v>113</v>
      </c>
      <c r="L6" s="74" t="s">
        <v>114</v>
      </c>
      <c r="M6" s="74" t="s">
        <v>115</v>
      </c>
      <c r="N6" s="74" t="s">
        <v>116</v>
      </c>
      <c r="O6" s="74" t="s">
        <v>117</v>
      </c>
      <c r="P6" s="80" t="s">
        <v>118</v>
      </c>
      <c r="Q6" s="80" t="s">
        <v>119</v>
      </c>
      <c r="R6" s="79"/>
      <c r="S6" s="74" t="s">
        <v>113</v>
      </c>
      <c r="T6" s="74" t="s">
        <v>114</v>
      </c>
      <c r="U6" s="74" t="s">
        <v>115</v>
      </c>
      <c r="V6" s="74" t="s">
        <v>116</v>
      </c>
      <c r="W6" s="74" t="s">
        <v>117</v>
      </c>
      <c r="X6" s="80" t="s">
        <v>118</v>
      </c>
      <c r="Y6" s="80" t="s">
        <v>119</v>
      </c>
      <c r="Z6" s="78"/>
      <c r="AA6" s="214"/>
    </row>
    <row r="7" spans="1:27" ht="20.6" customHeight="1" x14ac:dyDescent="0.3">
      <c r="A7" s="15">
        <v>1</v>
      </c>
      <c r="B7" s="8"/>
      <c r="C7" s="35">
        <f>DATE(Anolu,MONTH($C$4),1)-WEEKDAY(DATE(Anolu,MONTH($C$4),1),(Débutsemlu="Lundi")+1)+$A7*7-6</f>
        <v>43465</v>
      </c>
      <c r="D7" s="36">
        <f t="shared" ref="D7:D12" si="0">DATE(Anolu,MONTH($C$4),1)-WEEKDAY(DATE(Anolu,MONTH($C$4),1),(Débutsemlu="Lundi")+1)+$A7*7-5</f>
        <v>43466</v>
      </c>
      <c r="E7" s="36">
        <f t="shared" ref="E7:E12" si="1">DATE(Anolu,MONTH($C$4),1)-WEEKDAY(DATE(Anolu,MONTH($C$4),1),(Débutsemlu="Lundi")+1)+$A7*7-4</f>
        <v>43467</v>
      </c>
      <c r="F7" s="36">
        <f t="shared" ref="F7:F12" si="2">DATE(Anolu,MONTH($C$4),1)-WEEKDAY(DATE(Anolu,MONTH($C$4),1),(Débutsemlu="Lundi")+1)+$A7*7-3</f>
        <v>43468</v>
      </c>
      <c r="G7" s="36">
        <f t="shared" ref="G7:G12" si="3">DATE(Anolu,MONTH($C$4),1)-WEEKDAY(DATE(Anolu,MONTH($C$4),1),(Débutsemlu="Lundi")+1)+$A7*7-2</f>
        <v>43469</v>
      </c>
      <c r="H7" s="37">
        <f t="shared" ref="H7:H12" si="4">DATE(Anolu,MONTH($C$4),1)-WEEKDAY(DATE(Anolu,MONTH($C$4),1),(Débutsemlu="Lundi")+1)+$A7*7-1</f>
        <v>43470</v>
      </c>
      <c r="I7" s="38">
        <f t="shared" ref="I7:I12" si="5">DATE(Anolu,MONTH($C$4),1)-WEEKDAY(DATE(Anolu,MONTH($C$4),1),(Débutsemlu="Lundi")+1)+$A7*7</f>
        <v>43471</v>
      </c>
      <c r="J7" s="15"/>
      <c r="K7" s="35">
        <f>DATE(Anolu,MONTH($K$4),1)-WEEKDAY(DATE(Anolu,MONTH($K$4),1),(Débutsemlu="Lundi")+1)+$A7*7-6</f>
        <v>43493</v>
      </c>
      <c r="L7" s="36">
        <f t="shared" ref="L7:L12" si="6">DATE(Anolu,MONTH($K$4),1)-WEEKDAY(DATE(Anolu,MONTH($K$4),1),(Débutsemlu="Lundi")+1)+$A7*7-5</f>
        <v>43494</v>
      </c>
      <c r="M7" s="36">
        <f t="shared" ref="M7:M12" si="7">DATE(Anolu,MONTH($K$4),1)-WEEKDAY(DATE(Anolu,MONTH($K$4),1),(Débutsemlu="Lundi")+1)+$A7*7-4</f>
        <v>43495</v>
      </c>
      <c r="N7" s="36">
        <f t="shared" ref="N7:N12" si="8">DATE(Anolu,MONTH($K$4),1)-WEEKDAY(DATE(Anolu,MONTH($K$4),1),(Débutsemlu="Lundi")+1)+$A7*7-3</f>
        <v>43496</v>
      </c>
      <c r="O7" s="36">
        <f t="shared" ref="O7:O12" si="9">DATE(Anolu,MONTH($K$4),1)-WEEKDAY(DATE(Anolu,MONTH($K$4),1),(Débutsemlu="Lundi")+1)+$A7*7-2</f>
        <v>43497</v>
      </c>
      <c r="P7" s="37">
        <f t="shared" ref="P7:P12" si="10">DATE(Anolu,MONTH($K$4),1)-WEEKDAY(DATE(Anolu,MONTH($K$4),1),(Débutsemlu="Lundi")+1)+$A7*7-1</f>
        <v>43498</v>
      </c>
      <c r="Q7" s="38">
        <f t="shared" ref="Q7:Q12" si="11">DATE(Anolu,MONTH($K$4),1)-WEEKDAY(DATE(Anolu,MONTH($K$4),1),(Débutsemlu="Lundi")+1)+$A7*7</f>
        <v>43499</v>
      </c>
      <c r="R7" s="15"/>
      <c r="S7" s="35">
        <f>DATE(Anolu,MONTH($S$4),1)-WEEKDAY(DATE(Anolu,MONTH($S$4),1),(Débutsemlu="Lundi")+1)+$A7*7-6</f>
        <v>43521</v>
      </c>
      <c r="T7" s="36">
        <f t="shared" ref="T7:T12" si="12">DATE(Anolu,MONTH($S$4),1)-WEEKDAY(DATE(Anolu,MONTH($S$4),1),(Débutsemlu="Lundi")+1)+$A7*7-5</f>
        <v>43522</v>
      </c>
      <c r="U7" s="36">
        <f t="shared" ref="U7:U12" si="13">DATE(Anolu,MONTH($S$4),1)-WEEKDAY(DATE(Anolu,MONTH($S$4),1),(Débutsemlu="Lundi")+1)+$A7*7-4</f>
        <v>43523</v>
      </c>
      <c r="V7" s="36">
        <f t="shared" ref="V7:V12" si="14">DATE(Anolu,MONTH($S$4),1)-WEEKDAY(DATE(Anolu,MONTH($S$4),1),(Débutsemlu="Lundi")+1)+$A7*7-3</f>
        <v>43524</v>
      </c>
      <c r="W7" s="36">
        <f t="shared" ref="W7:W12" si="15">DATE(Anolu,MONTH($S$4),1)-WEEKDAY(DATE(Anolu,MONTH($S$4),1),(Débutsemlu="Lundi")+1)+$A7*7-2</f>
        <v>43525</v>
      </c>
      <c r="X7" s="37">
        <f t="shared" ref="X7:X12" si="16">DATE(Anolu,MONTH($S$4),1)-WEEKDAY(DATE(Anolu,MONTH($S$4),1),(Débutsemlu="Lundi")+1)+$A7*7-1</f>
        <v>43526</v>
      </c>
      <c r="Y7" s="38">
        <f t="shared" ref="Y7:Y12" si="17">DATE(Anolu,MONTH($S$4),1)-WEEKDAY(DATE(Anolu,MONTH($S$4),1),(Débutsemlu="Lundi")+1)+$A7*7</f>
        <v>43527</v>
      </c>
      <c r="Z7" s="14"/>
      <c r="AA7" s="214"/>
    </row>
    <row r="8" spans="1:27" ht="20.6" customHeight="1" x14ac:dyDescent="0.3">
      <c r="A8" s="15">
        <v>2</v>
      </c>
      <c r="B8" s="8"/>
      <c r="C8" s="39">
        <f t="shared" ref="C8:C12" si="18">DATE(Anolu,MONTH($C$4),1)-WEEKDAY(DATE(Anolu,MONTH($C$4),1),(Débutsemlu="Lundi")+1)+$A8*7-6</f>
        <v>43472</v>
      </c>
      <c r="D8" s="40">
        <f t="shared" si="0"/>
        <v>43473</v>
      </c>
      <c r="E8" s="40">
        <f t="shared" si="1"/>
        <v>43474</v>
      </c>
      <c r="F8" s="40">
        <f t="shared" si="2"/>
        <v>43475</v>
      </c>
      <c r="G8" s="40">
        <f t="shared" si="3"/>
        <v>43476</v>
      </c>
      <c r="H8" s="41">
        <f t="shared" si="4"/>
        <v>43477</v>
      </c>
      <c r="I8" s="42">
        <f t="shared" si="5"/>
        <v>43478</v>
      </c>
      <c r="J8" s="15"/>
      <c r="K8" s="39">
        <f t="shared" ref="K8:K12" si="19">DATE(Anolu,MONTH($K$4),1)-WEEKDAY(DATE(Anolu,MONTH($K$4),1),(Débutsemlu="Lundi")+1)+$A8*7-6</f>
        <v>43500</v>
      </c>
      <c r="L8" s="40">
        <f t="shared" si="6"/>
        <v>43501</v>
      </c>
      <c r="M8" s="40">
        <f t="shared" si="7"/>
        <v>43502</v>
      </c>
      <c r="N8" s="40">
        <f t="shared" si="8"/>
        <v>43503</v>
      </c>
      <c r="O8" s="40">
        <f t="shared" si="9"/>
        <v>43504</v>
      </c>
      <c r="P8" s="41">
        <f t="shared" si="10"/>
        <v>43505</v>
      </c>
      <c r="Q8" s="42">
        <f t="shared" si="11"/>
        <v>43506</v>
      </c>
      <c r="R8" s="15"/>
      <c r="S8" s="39">
        <f t="shared" ref="S8:S12" si="20">DATE(Anolu,MONTH($S$4),1)-WEEKDAY(DATE(Anolu,MONTH($S$4),1),(Débutsemlu="Lundi")+1)+$A8*7-6</f>
        <v>43528</v>
      </c>
      <c r="T8" s="40">
        <f t="shared" si="12"/>
        <v>43529</v>
      </c>
      <c r="U8" s="40">
        <f t="shared" si="13"/>
        <v>43530</v>
      </c>
      <c r="V8" s="40">
        <f t="shared" si="14"/>
        <v>43531</v>
      </c>
      <c r="W8" s="40">
        <f t="shared" si="15"/>
        <v>43532</v>
      </c>
      <c r="X8" s="41">
        <f t="shared" si="16"/>
        <v>43533</v>
      </c>
      <c r="Y8" s="42">
        <f t="shared" si="17"/>
        <v>43534</v>
      </c>
      <c r="Z8" s="14"/>
      <c r="AA8" s="214"/>
    </row>
    <row r="9" spans="1:27" ht="20.6" customHeight="1" x14ac:dyDescent="0.3">
      <c r="A9" s="15">
        <v>3</v>
      </c>
      <c r="B9" s="8"/>
      <c r="C9" s="39">
        <f t="shared" si="18"/>
        <v>43479</v>
      </c>
      <c r="D9" s="40">
        <f t="shared" si="0"/>
        <v>43480</v>
      </c>
      <c r="E9" s="40">
        <f t="shared" si="1"/>
        <v>43481</v>
      </c>
      <c r="F9" s="40">
        <f t="shared" si="2"/>
        <v>43482</v>
      </c>
      <c r="G9" s="40">
        <f t="shared" si="3"/>
        <v>43483</v>
      </c>
      <c r="H9" s="41">
        <f t="shared" si="4"/>
        <v>43484</v>
      </c>
      <c r="I9" s="42">
        <f t="shared" si="5"/>
        <v>43485</v>
      </c>
      <c r="J9" s="15"/>
      <c r="K9" s="39">
        <f t="shared" si="19"/>
        <v>43507</v>
      </c>
      <c r="L9" s="40">
        <f t="shared" si="6"/>
        <v>43508</v>
      </c>
      <c r="M9" s="40">
        <f t="shared" si="7"/>
        <v>43509</v>
      </c>
      <c r="N9" s="40">
        <f t="shared" si="8"/>
        <v>43510</v>
      </c>
      <c r="O9" s="40">
        <f t="shared" si="9"/>
        <v>43511</v>
      </c>
      <c r="P9" s="41">
        <f t="shared" si="10"/>
        <v>43512</v>
      </c>
      <c r="Q9" s="42">
        <f t="shared" si="11"/>
        <v>43513</v>
      </c>
      <c r="R9" s="15"/>
      <c r="S9" s="39">
        <f t="shared" si="20"/>
        <v>43535</v>
      </c>
      <c r="T9" s="40">
        <f t="shared" si="12"/>
        <v>43536</v>
      </c>
      <c r="U9" s="40">
        <f t="shared" si="13"/>
        <v>43537</v>
      </c>
      <c r="V9" s="40">
        <f t="shared" si="14"/>
        <v>43538</v>
      </c>
      <c r="W9" s="40">
        <f t="shared" si="15"/>
        <v>43539</v>
      </c>
      <c r="X9" s="41">
        <f t="shared" si="16"/>
        <v>43540</v>
      </c>
      <c r="Y9" s="42">
        <f t="shared" si="17"/>
        <v>43541</v>
      </c>
      <c r="Z9" s="43"/>
      <c r="AA9" s="214"/>
    </row>
    <row r="10" spans="1:27" ht="20.6" customHeight="1" x14ac:dyDescent="0.3">
      <c r="A10" s="15">
        <v>4</v>
      </c>
      <c r="B10" s="8"/>
      <c r="C10" s="39">
        <f t="shared" si="18"/>
        <v>43486</v>
      </c>
      <c r="D10" s="40">
        <f t="shared" si="0"/>
        <v>43487</v>
      </c>
      <c r="E10" s="40">
        <f t="shared" si="1"/>
        <v>43488</v>
      </c>
      <c r="F10" s="40">
        <f t="shared" si="2"/>
        <v>43489</v>
      </c>
      <c r="G10" s="40">
        <f t="shared" si="3"/>
        <v>43490</v>
      </c>
      <c r="H10" s="41">
        <f t="shared" si="4"/>
        <v>43491</v>
      </c>
      <c r="I10" s="42">
        <f t="shared" si="5"/>
        <v>43492</v>
      </c>
      <c r="J10" s="15"/>
      <c r="K10" s="39">
        <f t="shared" si="19"/>
        <v>43514</v>
      </c>
      <c r="L10" s="40">
        <f t="shared" si="6"/>
        <v>43515</v>
      </c>
      <c r="M10" s="40">
        <f t="shared" si="7"/>
        <v>43516</v>
      </c>
      <c r="N10" s="40">
        <f t="shared" si="8"/>
        <v>43517</v>
      </c>
      <c r="O10" s="40">
        <f t="shared" si="9"/>
        <v>43518</v>
      </c>
      <c r="P10" s="41">
        <f t="shared" si="10"/>
        <v>43519</v>
      </c>
      <c r="Q10" s="42">
        <f t="shared" si="11"/>
        <v>43520</v>
      </c>
      <c r="R10" s="15"/>
      <c r="S10" s="39">
        <f t="shared" si="20"/>
        <v>43542</v>
      </c>
      <c r="T10" s="40">
        <f t="shared" si="12"/>
        <v>43543</v>
      </c>
      <c r="U10" s="40">
        <f t="shared" si="13"/>
        <v>43544</v>
      </c>
      <c r="V10" s="40">
        <f t="shared" si="14"/>
        <v>43545</v>
      </c>
      <c r="W10" s="40">
        <f t="shared" si="15"/>
        <v>43546</v>
      </c>
      <c r="X10" s="41">
        <f t="shared" si="16"/>
        <v>43547</v>
      </c>
      <c r="Y10" s="42">
        <f t="shared" si="17"/>
        <v>43548</v>
      </c>
      <c r="Z10" s="43"/>
      <c r="AA10" s="214"/>
    </row>
    <row r="11" spans="1:27" ht="20.6" customHeight="1" x14ac:dyDescent="0.3">
      <c r="A11" s="15">
        <v>5</v>
      </c>
      <c r="B11" s="8"/>
      <c r="C11" s="39">
        <f t="shared" si="18"/>
        <v>43493</v>
      </c>
      <c r="D11" s="40">
        <f t="shared" si="0"/>
        <v>43494</v>
      </c>
      <c r="E11" s="40">
        <f t="shared" si="1"/>
        <v>43495</v>
      </c>
      <c r="F11" s="40">
        <f t="shared" si="2"/>
        <v>43496</v>
      </c>
      <c r="G11" s="40">
        <f t="shared" si="3"/>
        <v>43497</v>
      </c>
      <c r="H11" s="41">
        <f t="shared" si="4"/>
        <v>43498</v>
      </c>
      <c r="I11" s="42">
        <f t="shared" si="5"/>
        <v>43499</v>
      </c>
      <c r="J11" s="15"/>
      <c r="K11" s="39">
        <f t="shared" si="19"/>
        <v>43521</v>
      </c>
      <c r="L11" s="40">
        <f t="shared" si="6"/>
        <v>43522</v>
      </c>
      <c r="M11" s="40">
        <f t="shared" si="7"/>
        <v>43523</v>
      </c>
      <c r="N11" s="40">
        <f t="shared" si="8"/>
        <v>43524</v>
      </c>
      <c r="O11" s="40">
        <f t="shared" si="9"/>
        <v>43525</v>
      </c>
      <c r="P11" s="41">
        <f t="shared" si="10"/>
        <v>43526</v>
      </c>
      <c r="Q11" s="42">
        <f t="shared" si="11"/>
        <v>43527</v>
      </c>
      <c r="R11" s="15"/>
      <c r="S11" s="39">
        <f t="shared" si="20"/>
        <v>43549</v>
      </c>
      <c r="T11" s="40">
        <f t="shared" si="12"/>
        <v>43550</v>
      </c>
      <c r="U11" s="40">
        <f t="shared" si="13"/>
        <v>43551</v>
      </c>
      <c r="V11" s="40">
        <f t="shared" si="14"/>
        <v>43552</v>
      </c>
      <c r="W11" s="40">
        <f t="shared" si="15"/>
        <v>43553</v>
      </c>
      <c r="X11" s="41">
        <f t="shared" si="16"/>
        <v>43554</v>
      </c>
      <c r="Y11" s="42">
        <f t="shared" si="17"/>
        <v>43555</v>
      </c>
      <c r="Z11" s="43"/>
      <c r="AA11" s="214"/>
    </row>
    <row r="12" spans="1:27" ht="20.6" customHeight="1" thickBot="1" x14ac:dyDescent="0.35">
      <c r="A12" s="15">
        <v>6</v>
      </c>
      <c r="B12" s="8"/>
      <c r="C12" s="45">
        <f t="shared" si="18"/>
        <v>43500</v>
      </c>
      <c r="D12" s="46">
        <f t="shared" si="0"/>
        <v>43501</v>
      </c>
      <c r="E12" s="46">
        <f t="shared" si="1"/>
        <v>43502</v>
      </c>
      <c r="F12" s="46">
        <f t="shared" si="2"/>
        <v>43503</v>
      </c>
      <c r="G12" s="46">
        <f t="shared" si="3"/>
        <v>43504</v>
      </c>
      <c r="H12" s="47">
        <f t="shared" si="4"/>
        <v>43505</v>
      </c>
      <c r="I12" s="48">
        <f t="shared" si="5"/>
        <v>43506</v>
      </c>
      <c r="J12" s="15"/>
      <c r="K12" s="45">
        <f t="shared" si="19"/>
        <v>43528</v>
      </c>
      <c r="L12" s="46">
        <f t="shared" si="6"/>
        <v>43529</v>
      </c>
      <c r="M12" s="46">
        <f t="shared" si="7"/>
        <v>43530</v>
      </c>
      <c r="N12" s="46">
        <f t="shared" si="8"/>
        <v>43531</v>
      </c>
      <c r="O12" s="46">
        <f t="shared" si="9"/>
        <v>43532</v>
      </c>
      <c r="P12" s="47">
        <f t="shared" si="10"/>
        <v>43533</v>
      </c>
      <c r="Q12" s="48">
        <f t="shared" si="11"/>
        <v>43534</v>
      </c>
      <c r="R12" s="15"/>
      <c r="S12" s="45">
        <f t="shared" si="20"/>
        <v>43556</v>
      </c>
      <c r="T12" s="46">
        <f t="shared" si="12"/>
        <v>43557</v>
      </c>
      <c r="U12" s="46">
        <f t="shared" si="13"/>
        <v>43558</v>
      </c>
      <c r="V12" s="46">
        <f t="shared" si="14"/>
        <v>43559</v>
      </c>
      <c r="W12" s="46">
        <f t="shared" si="15"/>
        <v>43560</v>
      </c>
      <c r="X12" s="47">
        <f t="shared" si="16"/>
        <v>43561</v>
      </c>
      <c r="Y12" s="48">
        <f t="shared" si="17"/>
        <v>43562</v>
      </c>
      <c r="Z12" s="43"/>
      <c r="AA12" s="214"/>
    </row>
    <row r="13" spans="1:27" ht="13.35" customHeight="1" thickBot="1" x14ac:dyDescent="0.35">
      <c r="A13" s="15"/>
      <c r="B13" s="8"/>
      <c r="C13" s="215">
        <f>DATE(Anolu,4,1)</f>
        <v>43556</v>
      </c>
      <c r="D13" s="215"/>
      <c r="E13" s="215"/>
      <c r="F13" s="215"/>
      <c r="G13" s="215"/>
      <c r="H13" s="215"/>
      <c r="I13" s="215"/>
      <c r="J13" s="15"/>
      <c r="K13" s="215">
        <f>DATE(Anolu,5,1)</f>
        <v>43586</v>
      </c>
      <c r="L13" s="215"/>
      <c r="M13" s="215"/>
      <c r="N13" s="215"/>
      <c r="O13" s="215"/>
      <c r="P13" s="215"/>
      <c r="Q13" s="215"/>
      <c r="R13" s="15"/>
      <c r="S13" s="215">
        <f>DATE(Anolu,6,1)</f>
        <v>43617</v>
      </c>
      <c r="T13" s="215"/>
      <c r="U13" s="215"/>
      <c r="V13" s="215"/>
      <c r="W13" s="215"/>
      <c r="X13" s="215"/>
      <c r="Y13" s="215"/>
      <c r="Z13" s="49"/>
      <c r="AA13" s="214"/>
    </row>
    <row r="14" spans="1:27" s="20" customFormat="1" ht="20.6" customHeight="1" thickBot="1" x14ac:dyDescent="0.35">
      <c r="A14" s="10"/>
      <c r="B14" s="17"/>
      <c r="C14" s="216" t="str">
        <f>CHOOSE(MONTH(C4),"AVRIL")</f>
        <v>AVRIL</v>
      </c>
      <c r="D14" s="217"/>
      <c r="E14" s="217"/>
      <c r="F14" s="217"/>
      <c r="G14" s="217"/>
      <c r="H14" s="217"/>
      <c r="I14" s="218"/>
      <c r="J14" s="10"/>
      <c r="K14" s="216" t="str">
        <f>CHOOSE(MONTH(C4),"MAI")</f>
        <v>MAI</v>
      </c>
      <c r="L14" s="217"/>
      <c r="M14" s="217"/>
      <c r="N14" s="217"/>
      <c r="O14" s="217"/>
      <c r="P14" s="217"/>
      <c r="Q14" s="218"/>
      <c r="R14" s="10"/>
      <c r="S14" s="216" t="str">
        <f>CHOOSE(MONTH(C4),"JUIN")</f>
        <v>JUIN</v>
      </c>
      <c r="T14" s="217"/>
      <c r="U14" s="217"/>
      <c r="V14" s="217"/>
      <c r="W14" s="217"/>
      <c r="X14" s="217"/>
      <c r="Y14" s="218"/>
      <c r="Z14" s="50"/>
      <c r="AA14" s="214"/>
    </row>
    <row r="15" spans="1:27" s="20" customFormat="1" ht="16.350000000000001" customHeight="1" thickBot="1" x14ac:dyDescent="0.35">
      <c r="A15" s="10"/>
      <c r="B15" s="51"/>
      <c r="C15" s="74" t="s">
        <v>113</v>
      </c>
      <c r="D15" s="74" t="s">
        <v>114</v>
      </c>
      <c r="E15" s="74" t="s">
        <v>115</v>
      </c>
      <c r="F15" s="74" t="s">
        <v>116</v>
      </c>
      <c r="G15" s="74" t="s">
        <v>117</v>
      </c>
      <c r="H15" s="80" t="s">
        <v>118</v>
      </c>
      <c r="I15" s="80" t="s">
        <v>119</v>
      </c>
      <c r="J15" s="27"/>
      <c r="K15" s="74" t="s">
        <v>113</v>
      </c>
      <c r="L15" s="74" t="s">
        <v>114</v>
      </c>
      <c r="M15" s="74" t="s">
        <v>115</v>
      </c>
      <c r="N15" s="74" t="s">
        <v>116</v>
      </c>
      <c r="O15" s="74" t="s">
        <v>117</v>
      </c>
      <c r="P15" s="80" t="s">
        <v>118</v>
      </c>
      <c r="Q15" s="80" t="s">
        <v>119</v>
      </c>
      <c r="R15" s="27"/>
      <c r="S15" s="74" t="s">
        <v>113</v>
      </c>
      <c r="T15" s="74" t="s">
        <v>114</v>
      </c>
      <c r="U15" s="74" t="s">
        <v>115</v>
      </c>
      <c r="V15" s="74" t="s">
        <v>116</v>
      </c>
      <c r="W15" s="74" t="s">
        <v>117</v>
      </c>
      <c r="X15" s="80" t="s">
        <v>118</v>
      </c>
      <c r="Y15" s="80" t="s">
        <v>119</v>
      </c>
      <c r="Z15" s="52"/>
      <c r="AA15" s="214"/>
    </row>
    <row r="16" spans="1:27" ht="20.6" customHeight="1" x14ac:dyDescent="0.3">
      <c r="A16" s="15"/>
      <c r="B16" s="8"/>
      <c r="C16" s="35">
        <f>DATE(Anolu,MONTH($C$13),1)-WEEKDAY(DATE(Anolu,MONTH($C$13),1),(Débutsemlu="Lundi")+1)+$A7*7-6</f>
        <v>43556</v>
      </c>
      <c r="D16" s="36">
        <f t="shared" ref="D16:D21" si="21">DATE(Anolu,MONTH($C$13),1)-WEEKDAY(DATE(Anolu,MONTH($C$13),1),(Débutsemlu="Lundi")+1)+$A7*7-5</f>
        <v>43557</v>
      </c>
      <c r="E16" s="36">
        <f t="shared" ref="E16:E21" si="22">DATE(Anolu,MONTH($C$13),1)-WEEKDAY(DATE(Anolu,MONTH($C$13),1),(Débutsemlu="Lundi")+1)+$A7*7-4</f>
        <v>43558</v>
      </c>
      <c r="F16" s="36">
        <f t="shared" ref="F16:F21" si="23">DATE(Anolu,MONTH($C$13),1)-WEEKDAY(DATE(Anolu,MONTH($C$13),1),(Débutsemlu="Lundi")+1)+$A7*7-3</f>
        <v>43559</v>
      </c>
      <c r="G16" s="36">
        <f>DATE(Anolu,MONTH($C$13),1)-WEEKDAY(DATE(Anolu,MONTH($C$13),1),(Débutsemlu="Lundi")+1)+$A7*7-2</f>
        <v>43560</v>
      </c>
      <c r="H16" s="37">
        <f t="shared" ref="H16:H21" si="24">DATE(Anolu,MONTH($C$13),1)-WEEKDAY(DATE(Anolu,MONTH($C$13),1),(Débutsemlu="Lundi")+1)+$A7*7-1</f>
        <v>43561</v>
      </c>
      <c r="I16" s="38">
        <f t="shared" ref="I16:I21" si="25">DATE(Anolu,MONTH($C$13),1)-WEEKDAY(DATE(Anolu,MONTH($C$13),1),(Débutsemlu="Lundi")+1)+$A7*7</f>
        <v>43562</v>
      </c>
      <c r="J16" s="15"/>
      <c r="K16" s="35">
        <f t="shared" ref="K16:K21" si="26">DATE(Anolu,MONTH($K$13),1)-WEEKDAY(DATE(Anolu,MONTH($K$13),1),(Débutsemlu="Lundi")+1)+$A7*7-6</f>
        <v>43584</v>
      </c>
      <c r="L16" s="36">
        <f t="shared" ref="L16:L21" si="27">DATE(Anolu,MONTH($K$13),1)-WEEKDAY(DATE(Anolu,MONTH($K$13),1),(Débutsemlu="Lundi")+1)+$A7*7-5</f>
        <v>43585</v>
      </c>
      <c r="M16" s="36">
        <f t="shared" ref="M16:M21" si="28">DATE(Anolu,MONTH($K$13),1)-WEEKDAY(DATE(Anolu,MONTH($K$13),1),(Débutsemlu="Lundi")+1)+$A7*7-4</f>
        <v>43586</v>
      </c>
      <c r="N16" s="36">
        <f t="shared" ref="N16:N21" si="29">DATE(Anolu,MONTH($K$13),1)-WEEKDAY(DATE(Anolu,MONTH($K$13),1),(Débutsemlu="Lundi")+1)+$A7*7-3</f>
        <v>43587</v>
      </c>
      <c r="O16" s="36">
        <f t="shared" ref="O16:O21" si="30">DATE(Anolu,MONTH($K$13),1)-WEEKDAY(DATE(Anolu,MONTH($K$13),1),(Débutsemlu="Lundi")+1)+$A7*7-2</f>
        <v>43588</v>
      </c>
      <c r="P16" s="37">
        <f t="shared" ref="P16:P21" si="31">DATE(Anolu,MONTH($K$13),1)-WEEKDAY(DATE(Anolu,MONTH($K$13),1),(Débutsemlu="Lundi")+1)+$A7*7-1</f>
        <v>43589</v>
      </c>
      <c r="Q16" s="38">
        <f t="shared" ref="Q16:Q21" si="32">DATE(Anolu,MONTH($K$13),1)-WEEKDAY(DATE(Anolu,MONTH($K$13),1),(Débutsemlu="Lundi")+1)+$A7*7</f>
        <v>43590</v>
      </c>
      <c r="R16" s="15"/>
      <c r="S16" s="35">
        <f t="shared" ref="S16:S21" si="33">DATE(Anolu,MONTH($S$13),1)-WEEKDAY(DATE(Anolu,MONTH($S$13),1),(Débutsemlu="Lundi")+1)+$A7*7-6</f>
        <v>43612</v>
      </c>
      <c r="T16" s="36">
        <f t="shared" ref="T16:T21" si="34">DATE(Anolu,MONTH($S$13),1)-WEEKDAY(DATE(Anolu,MONTH($S$13),1),(Débutsemlu="Lundi")+1)+$A7*7-5</f>
        <v>43613</v>
      </c>
      <c r="U16" s="36">
        <f t="shared" ref="U16:U21" si="35">DATE(Anolu,MONTH($S$13),1)-WEEKDAY(DATE(Anolu,MONTH($S$13),1),(Débutsemlu="Lundi")+1)+$A7*7-4</f>
        <v>43614</v>
      </c>
      <c r="V16" s="36">
        <f t="shared" ref="V16:V21" si="36">DATE(Anolu,MONTH($S$13),1)-WEEKDAY(DATE(Anolu,MONTH($S$13),1),(Débutsemlu="Lundi")+1)+$A7*7-3</f>
        <v>43615</v>
      </c>
      <c r="W16" s="36">
        <f t="shared" ref="W16:W21" si="37">DATE(Anolu,MONTH($S$13),1)-WEEKDAY(DATE(Anolu,MONTH($S$13),1),(Débutsemlu="Lundi")+1)+$A7*7-2</f>
        <v>43616</v>
      </c>
      <c r="X16" s="37">
        <f t="shared" ref="X16:X21" si="38">DATE(Anolu,MONTH($S$13),1)-WEEKDAY(DATE(Anolu,MONTH($S$13),1),(Débutsemlu="Lundi")+1)+$A7*7-1</f>
        <v>43617</v>
      </c>
      <c r="Y16" s="38">
        <f t="shared" ref="Y16:Y21" si="39">DATE(Anolu,MONTH($S$13),1)-WEEKDAY(DATE(Anolu,MONTH($S$13),1),(Débutsemlu="Lundi")+1)+$A7*7</f>
        <v>43618</v>
      </c>
      <c r="Z16" s="14"/>
      <c r="AA16" s="214"/>
    </row>
    <row r="17" spans="1:27" ht="20.6" customHeight="1" x14ac:dyDescent="0.3">
      <c r="A17" s="15"/>
      <c r="B17" s="8"/>
      <c r="C17" s="39">
        <f t="shared" ref="C17:C21" si="40">DATE(Anolu,MONTH($C$13),1)-WEEKDAY(DATE(Anolu,MONTH($C$13),1),(Débutsemlu="Lundi")+1)+$A8*7-6</f>
        <v>43563</v>
      </c>
      <c r="D17" s="40">
        <f t="shared" si="21"/>
        <v>43564</v>
      </c>
      <c r="E17" s="40">
        <f t="shared" si="22"/>
        <v>43565</v>
      </c>
      <c r="F17" s="40">
        <f t="shared" si="23"/>
        <v>43566</v>
      </c>
      <c r="G17" s="40">
        <f t="shared" ref="G17:G21" si="41">DATE(Anolu,MONTH($C$13),1)-WEEKDAY(DATE(Anolu,MONTH($C$13),1),(Débutsemlu="Lundi")+1)+$A8*7-2</f>
        <v>43567</v>
      </c>
      <c r="H17" s="41">
        <f t="shared" si="24"/>
        <v>43568</v>
      </c>
      <c r="I17" s="42">
        <f t="shared" si="25"/>
        <v>43569</v>
      </c>
      <c r="J17" s="15"/>
      <c r="K17" s="39">
        <f t="shared" si="26"/>
        <v>43591</v>
      </c>
      <c r="L17" s="40">
        <f t="shared" si="27"/>
        <v>43592</v>
      </c>
      <c r="M17" s="40">
        <f t="shared" si="28"/>
        <v>43593</v>
      </c>
      <c r="N17" s="40">
        <f t="shared" si="29"/>
        <v>43594</v>
      </c>
      <c r="O17" s="40">
        <f t="shared" si="30"/>
        <v>43595</v>
      </c>
      <c r="P17" s="41">
        <f t="shared" si="31"/>
        <v>43596</v>
      </c>
      <c r="Q17" s="42">
        <f t="shared" si="32"/>
        <v>43597</v>
      </c>
      <c r="R17" s="15"/>
      <c r="S17" s="39">
        <f t="shared" si="33"/>
        <v>43619</v>
      </c>
      <c r="T17" s="40">
        <f t="shared" si="34"/>
        <v>43620</v>
      </c>
      <c r="U17" s="40">
        <f t="shared" si="35"/>
        <v>43621</v>
      </c>
      <c r="V17" s="40">
        <f t="shared" si="36"/>
        <v>43622</v>
      </c>
      <c r="W17" s="40">
        <f t="shared" si="37"/>
        <v>43623</v>
      </c>
      <c r="X17" s="41">
        <f t="shared" si="38"/>
        <v>43624</v>
      </c>
      <c r="Y17" s="42">
        <f t="shared" si="39"/>
        <v>43625</v>
      </c>
      <c r="Z17" s="14"/>
      <c r="AA17" s="214"/>
    </row>
    <row r="18" spans="1:27" ht="20.6" customHeight="1" x14ac:dyDescent="0.3">
      <c r="A18" s="15"/>
      <c r="B18" s="8"/>
      <c r="C18" s="39">
        <f t="shared" si="40"/>
        <v>43570</v>
      </c>
      <c r="D18" s="40">
        <f t="shared" si="21"/>
        <v>43571</v>
      </c>
      <c r="E18" s="40">
        <f t="shared" si="22"/>
        <v>43572</v>
      </c>
      <c r="F18" s="40">
        <f t="shared" si="23"/>
        <v>43573</v>
      </c>
      <c r="G18" s="40">
        <f t="shared" si="41"/>
        <v>43574</v>
      </c>
      <c r="H18" s="41">
        <f t="shared" si="24"/>
        <v>43575</v>
      </c>
      <c r="I18" s="42">
        <f t="shared" si="25"/>
        <v>43576</v>
      </c>
      <c r="J18" s="15"/>
      <c r="K18" s="39">
        <f t="shared" si="26"/>
        <v>43598</v>
      </c>
      <c r="L18" s="40">
        <f t="shared" si="27"/>
        <v>43599</v>
      </c>
      <c r="M18" s="40">
        <f t="shared" si="28"/>
        <v>43600</v>
      </c>
      <c r="N18" s="40">
        <f t="shared" si="29"/>
        <v>43601</v>
      </c>
      <c r="O18" s="40">
        <f t="shared" si="30"/>
        <v>43602</v>
      </c>
      <c r="P18" s="41">
        <f t="shared" si="31"/>
        <v>43603</v>
      </c>
      <c r="Q18" s="42">
        <f t="shared" si="32"/>
        <v>43604</v>
      </c>
      <c r="R18" s="15"/>
      <c r="S18" s="39">
        <f t="shared" si="33"/>
        <v>43626</v>
      </c>
      <c r="T18" s="40">
        <f t="shared" si="34"/>
        <v>43627</v>
      </c>
      <c r="U18" s="40">
        <f t="shared" si="35"/>
        <v>43628</v>
      </c>
      <c r="V18" s="40">
        <f t="shared" si="36"/>
        <v>43629</v>
      </c>
      <c r="W18" s="40">
        <f t="shared" si="37"/>
        <v>43630</v>
      </c>
      <c r="X18" s="41">
        <f t="shared" si="38"/>
        <v>43631</v>
      </c>
      <c r="Y18" s="42">
        <f t="shared" si="39"/>
        <v>43632</v>
      </c>
      <c r="Z18" s="14"/>
      <c r="AA18" s="214"/>
    </row>
    <row r="19" spans="1:27" ht="20.6" customHeight="1" x14ac:dyDescent="0.3">
      <c r="A19" s="15"/>
      <c r="B19" s="8"/>
      <c r="C19" s="39">
        <f t="shared" si="40"/>
        <v>43577</v>
      </c>
      <c r="D19" s="40">
        <f t="shared" si="21"/>
        <v>43578</v>
      </c>
      <c r="E19" s="40">
        <f t="shared" si="22"/>
        <v>43579</v>
      </c>
      <c r="F19" s="40">
        <f t="shared" si="23"/>
        <v>43580</v>
      </c>
      <c r="G19" s="40">
        <f t="shared" si="41"/>
        <v>43581</v>
      </c>
      <c r="H19" s="41">
        <f t="shared" si="24"/>
        <v>43582</v>
      </c>
      <c r="I19" s="42">
        <f t="shared" si="25"/>
        <v>43583</v>
      </c>
      <c r="J19" s="15"/>
      <c r="K19" s="39">
        <f t="shared" si="26"/>
        <v>43605</v>
      </c>
      <c r="L19" s="40">
        <f t="shared" si="27"/>
        <v>43606</v>
      </c>
      <c r="M19" s="40">
        <f t="shared" si="28"/>
        <v>43607</v>
      </c>
      <c r="N19" s="40">
        <f t="shared" si="29"/>
        <v>43608</v>
      </c>
      <c r="O19" s="40">
        <f t="shared" si="30"/>
        <v>43609</v>
      </c>
      <c r="P19" s="41">
        <f t="shared" si="31"/>
        <v>43610</v>
      </c>
      <c r="Q19" s="42">
        <f t="shared" si="32"/>
        <v>43611</v>
      </c>
      <c r="R19" s="15"/>
      <c r="S19" s="39">
        <f t="shared" si="33"/>
        <v>43633</v>
      </c>
      <c r="T19" s="40">
        <f t="shared" si="34"/>
        <v>43634</v>
      </c>
      <c r="U19" s="40">
        <f t="shared" si="35"/>
        <v>43635</v>
      </c>
      <c r="V19" s="40">
        <f t="shared" si="36"/>
        <v>43636</v>
      </c>
      <c r="W19" s="40">
        <f t="shared" si="37"/>
        <v>43637</v>
      </c>
      <c r="X19" s="41">
        <f t="shared" si="38"/>
        <v>43638</v>
      </c>
      <c r="Y19" s="42">
        <f t="shared" si="39"/>
        <v>43639</v>
      </c>
      <c r="Z19" s="14"/>
      <c r="AA19" s="214"/>
    </row>
    <row r="20" spans="1:27" ht="20.6" customHeight="1" x14ac:dyDescent="0.3">
      <c r="A20" s="15"/>
      <c r="B20" s="8"/>
      <c r="C20" s="39">
        <f t="shared" si="40"/>
        <v>43584</v>
      </c>
      <c r="D20" s="40">
        <f t="shared" si="21"/>
        <v>43585</v>
      </c>
      <c r="E20" s="40">
        <f t="shared" si="22"/>
        <v>43586</v>
      </c>
      <c r="F20" s="40">
        <f t="shared" si="23"/>
        <v>43587</v>
      </c>
      <c r="G20" s="40">
        <f t="shared" si="41"/>
        <v>43588</v>
      </c>
      <c r="H20" s="41">
        <f t="shared" si="24"/>
        <v>43589</v>
      </c>
      <c r="I20" s="42">
        <f t="shared" si="25"/>
        <v>43590</v>
      </c>
      <c r="J20" s="15"/>
      <c r="K20" s="39">
        <f t="shared" si="26"/>
        <v>43612</v>
      </c>
      <c r="L20" s="40">
        <f t="shared" si="27"/>
        <v>43613</v>
      </c>
      <c r="M20" s="40">
        <f t="shared" si="28"/>
        <v>43614</v>
      </c>
      <c r="N20" s="40">
        <f t="shared" si="29"/>
        <v>43615</v>
      </c>
      <c r="O20" s="40">
        <f t="shared" si="30"/>
        <v>43616</v>
      </c>
      <c r="P20" s="41">
        <f t="shared" si="31"/>
        <v>43617</v>
      </c>
      <c r="Q20" s="42">
        <f t="shared" si="32"/>
        <v>43618</v>
      </c>
      <c r="R20" s="15"/>
      <c r="S20" s="39">
        <f t="shared" si="33"/>
        <v>43640</v>
      </c>
      <c r="T20" s="40">
        <f t="shared" si="34"/>
        <v>43641</v>
      </c>
      <c r="U20" s="40">
        <f t="shared" si="35"/>
        <v>43642</v>
      </c>
      <c r="V20" s="40">
        <f t="shared" si="36"/>
        <v>43643</v>
      </c>
      <c r="W20" s="40">
        <f t="shared" si="37"/>
        <v>43644</v>
      </c>
      <c r="X20" s="41">
        <f t="shared" si="38"/>
        <v>43645</v>
      </c>
      <c r="Y20" s="42">
        <f t="shared" si="39"/>
        <v>43646</v>
      </c>
      <c r="Z20" s="14"/>
      <c r="AA20" s="214"/>
    </row>
    <row r="21" spans="1:27" ht="20.6" customHeight="1" thickBot="1" x14ac:dyDescent="0.35">
      <c r="A21" s="15"/>
      <c r="B21" s="8"/>
      <c r="C21" s="45">
        <f t="shared" si="40"/>
        <v>43591</v>
      </c>
      <c r="D21" s="46">
        <f t="shared" si="21"/>
        <v>43592</v>
      </c>
      <c r="E21" s="46">
        <f t="shared" si="22"/>
        <v>43593</v>
      </c>
      <c r="F21" s="46">
        <f t="shared" si="23"/>
        <v>43594</v>
      </c>
      <c r="G21" s="46">
        <f t="shared" si="41"/>
        <v>43595</v>
      </c>
      <c r="H21" s="47">
        <f t="shared" si="24"/>
        <v>43596</v>
      </c>
      <c r="I21" s="48">
        <f t="shared" si="25"/>
        <v>43597</v>
      </c>
      <c r="J21" s="15"/>
      <c r="K21" s="45">
        <f t="shared" si="26"/>
        <v>43619</v>
      </c>
      <c r="L21" s="46">
        <f t="shared" si="27"/>
        <v>43620</v>
      </c>
      <c r="M21" s="46">
        <f t="shared" si="28"/>
        <v>43621</v>
      </c>
      <c r="N21" s="46">
        <f t="shared" si="29"/>
        <v>43622</v>
      </c>
      <c r="O21" s="46">
        <f t="shared" si="30"/>
        <v>43623</v>
      </c>
      <c r="P21" s="47">
        <f t="shared" si="31"/>
        <v>43624</v>
      </c>
      <c r="Q21" s="48">
        <f t="shared" si="32"/>
        <v>43625</v>
      </c>
      <c r="R21" s="15"/>
      <c r="S21" s="45">
        <f t="shared" si="33"/>
        <v>43647</v>
      </c>
      <c r="T21" s="46">
        <f t="shared" si="34"/>
        <v>43648</v>
      </c>
      <c r="U21" s="46">
        <f t="shared" si="35"/>
        <v>43649</v>
      </c>
      <c r="V21" s="46">
        <f t="shared" si="36"/>
        <v>43650</v>
      </c>
      <c r="W21" s="46">
        <f t="shared" si="37"/>
        <v>43651</v>
      </c>
      <c r="X21" s="47">
        <f t="shared" si="38"/>
        <v>43652</v>
      </c>
      <c r="Y21" s="48">
        <f t="shared" si="39"/>
        <v>43653</v>
      </c>
      <c r="Z21" s="14"/>
      <c r="AA21" s="214"/>
    </row>
    <row r="22" spans="1:27" ht="13.35" customHeight="1" thickBot="1" x14ac:dyDescent="0.35">
      <c r="A22" s="15"/>
      <c r="B22" s="8"/>
      <c r="C22" s="215">
        <f>DATE(Anolu,7,1)</f>
        <v>43647</v>
      </c>
      <c r="D22" s="215"/>
      <c r="E22" s="215"/>
      <c r="F22" s="215"/>
      <c r="G22" s="215"/>
      <c r="H22" s="215"/>
      <c r="I22" s="215"/>
      <c r="J22" s="15"/>
      <c r="K22" s="215">
        <f>DATE(Anolu,8,1)</f>
        <v>43678</v>
      </c>
      <c r="L22" s="215"/>
      <c r="M22" s="215"/>
      <c r="N22" s="215"/>
      <c r="O22" s="215"/>
      <c r="P22" s="215"/>
      <c r="Q22" s="215"/>
      <c r="R22" s="15"/>
      <c r="S22" s="215">
        <f>DATE(Anolu,9,1)</f>
        <v>43709</v>
      </c>
      <c r="T22" s="215"/>
      <c r="U22" s="215"/>
      <c r="V22" s="215"/>
      <c r="W22" s="215"/>
      <c r="X22" s="215"/>
      <c r="Y22" s="215"/>
      <c r="Z22" s="7"/>
      <c r="AA22" s="214"/>
    </row>
    <row r="23" spans="1:27" s="20" customFormat="1" ht="20.6" customHeight="1" thickBot="1" x14ac:dyDescent="0.35">
      <c r="A23" s="10"/>
      <c r="B23" s="17"/>
      <c r="C23" s="216" t="str">
        <f>CHOOSE(MONTH(C4),"JUILLET")</f>
        <v>JUILLET</v>
      </c>
      <c r="D23" s="217"/>
      <c r="E23" s="217"/>
      <c r="F23" s="217"/>
      <c r="G23" s="217"/>
      <c r="H23" s="217"/>
      <c r="I23" s="218"/>
      <c r="J23" s="10"/>
      <c r="K23" s="216" t="str">
        <f>CHOOSE(MONTH(C4),"AOÛT")</f>
        <v>AOÛT</v>
      </c>
      <c r="L23" s="217"/>
      <c r="M23" s="217"/>
      <c r="N23" s="217"/>
      <c r="O23" s="217"/>
      <c r="P23" s="217"/>
      <c r="Q23" s="218"/>
      <c r="R23" s="10"/>
      <c r="S23" s="219" t="str">
        <f>CHOOSE(MONTH(C4),"SEPTEMBRE")</f>
        <v>SEPTEMBRE</v>
      </c>
      <c r="T23" s="220"/>
      <c r="U23" s="220"/>
      <c r="V23" s="220"/>
      <c r="W23" s="220"/>
      <c r="X23" s="220"/>
      <c r="Y23" s="218"/>
      <c r="Z23" s="19"/>
      <c r="AA23" s="214"/>
    </row>
    <row r="24" spans="1:27" s="20" customFormat="1" ht="16.350000000000001" customHeight="1" thickBot="1" x14ac:dyDescent="0.35">
      <c r="A24" s="10"/>
      <c r="B24" s="51"/>
      <c r="C24" s="74" t="s">
        <v>113</v>
      </c>
      <c r="D24" s="74" t="s">
        <v>114</v>
      </c>
      <c r="E24" s="74" t="s">
        <v>115</v>
      </c>
      <c r="F24" s="74" t="s">
        <v>116</v>
      </c>
      <c r="G24" s="74" t="s">
        <v>117</v>
      </c>
      <c r="H24" s="80" t="s">
        <v>118</v>
      </c>
      <c r="I24" s="80" t="s">
        <v>119</v>
      </c>
      <c r="J24" s="27"/>
      <c r="K24" s="74" t="s">
        <v>113</v>
      </c>
      <c r="L24" s="74" t="s">
        <v>114</v>
      </c>
      <c r="M24" s="74" t="s">
        <v>115</v>
      </c>
      <c r="N24" s="74" t="s">
        <v>116</v>
      </c>
      <c r="O24" s="74" t="s">
        <v>117</v>
      </c>
      <c r="P24" s="80" t="s">
        <v>118</v>
      </c>
      <c r="Q24" s="80" t="s">
        <v>119</v>
      </c>
      <c r="R24" s="44"/>
      <c r="S24" s="74" t="s">
        <v>113</v>
      </c>
      <c r="T24" s="74" t="s">
        <v>114</v>
      </c>
      <c r="U24" s="74" t="s">
        <v>115</v>
      </c>
      <c r="V24" s="74" t="s">
        <v>116</v>
      </c>
      <c r="W24" s="74" t="s">
        <v>117</v>
      </c>
      <c r="X24" s="80" t="s">
        <v>118</v>
      </c>
      <c r="Y24" s="80" t="s">
        <v>119</v>
      </c>
      <c r="Z24" s="57"/>
      <c r="AA24" s="214"/>
    </row>
    <row r="25" spans="1:27" ht="20.6" customHeight="1" x14ac:dyDescent="0.3">
      <c r="A25" s="15">
        <v>1</v>
      </c>
      <c r="B25" s="8"/>
      <c r="C25" s="35">
        <f t="shared" ref="C25:C30" si="42">DATE(Anolu,MONTH($C$22),1)-WEEKDAY(DATE(Anolu,MONTH($C$22),1),(Débutsemlu="Lundi")+1)+$A7*7-6</f>
        <v>43647</v>
      </c>
      <c r="D25" s="36">
        <f t="shared" ref="D25:D30" si="43">DATE(Anolu,MONTH($C$22),1)-WEEKDAY(DATE(Anolu,MONTH($C$22),1),(Débutsemlu="Lundi")+1)+$A7*7-5</f>
        <v>43648</v>
      </c>
      <c r="E25" s="36">
        <f t="shared" ref="E25:E30" si="44">DATE(Anolu,MONTH($C$22),1)-WEEKDAY(DATE(Anolu,MONTH($C$22),1),(Débutsemlu="Lundi")+1)+$A7*7-4</f>
        <v>43649</v>
      </c>
      <c r="F25" s="36">
        <f t="shared" ref="F25:F30" si="45">DATE(Anolu,MONTH($C$22),1)-WEEKDAY(DATE(Anolu,MONTH($C$22),1),(Débutsemlu="Lundi")+1)+$A7*7-3</f>
        <v>43650</v>
      </c>
      <c r="G25" s="36">
        <f t="shared" ref="G25:G30" si="46">DATE(Anolu,MONTH($C$22),1)-WEEKDAY(DATE(Anolu,MONTH($C$22),1),(Débutsemlu="Lundi")+1)+$A7*7-2</f>
        <v>43651</v>
      </c>
      <c r="H25" s="37">
        <f t="shared" ref="H25:H30" si="47">DATE(Anolu,MONTH($C$22),1)-WEEKDAY(DATE(Anolu,MONTH($C$22),1),(Débutsemlu="Lundi")+1)+$A7*7-1</f>
        <v>43652</v>
      </c>
      <c r="I25" s="38">
        <f t="shared" ref="I25:I30" si="48">DATE(Anolu,MONTH($C$22),1)-WEEKDAY(DATE(Anolu,MONTH($C$22),1),(Débutsemlu="Lundi")+1)+$A7*7</f>
        <v>43653</v>
      </c>
      <c r="J25" s="15"/>
      <c r="K25" s="35">
        <f t="shared" ref="K25:K30" si="49">DATE(Anolu,MONTH($K$22),1)-WEEKDAY(DATE(Anolu,MONTH($K$22),1),(Débutsemlu="Lundi")+1)+$A7*7-6</f>
        <v>43675</v>
      </c>
      <c r="L25" s="36">
        <f t="shared" ref="L25:L30" si="50">DATE(Anolu,MONTH($K$22),1)-WEEKDAY(DATE(Anolu,MONTH($K$22),1),(Débutsemlu="Lundi")+1)+$A7*7-5</f>
        <v>43676</v>
      </c>
      <c r="M25" s="36">
        <f t="shared" ref="M25:M30" si="51">DATE(Anolu,MONTH($K$22),1)-WEEKDAY(DATE(Anolu,MONTH($K$22),1),(Débutsemlu="Lundi")+1)+$A7*7-4</f>
        <v>43677</v>
      </c>
      <c r="N25" s="36">
        <f t="shared" ref="N25:N30" si="52">DATE(Anolu,MONTH($K$22),1)-WEEKDAY(DATE(Anolu,MONTH($K$22),1),(Débutsemlu="Lundi")+1)+$A7*7-3</f>
        <v>43678</v>
      </c>
      <c r="O25" s="36">
        <f t="shared" ref="O25:O30" si="53">DATE(Anolu,MONTH($K$22),1)-WEEKDAY(DATE(Anolu,MONTH($K$22),1),(Débutsemlu="Lundi")+1)+$A7*7-2</f>
        <v>43679</v>
      </c>
      <c r="P25" s="37">
        <f t="shared" ref="P25:P30" si="54">DATE(Anolu,MONTH($K$22),1)-WEEKDAY(DATE(Anolu,MONTH($K$22),1),(Débutsemlu="Lundi")+1)+$A7*7-1</f>
        <v>43680</v>
      </c>
      <c r="Q25" s="38">
        <f t="shared" ref="Q25:Q30" si="55">DATE(Anolu,MONTH($K$22),1)-WEEKDAY(DATE(Anolu,MONTH($K$22),1),(Débutsemlu="Lundi")+1)+$A7*7</f>
        <v>43681</v>
      </c>
      <c r="R25" s="15"/>
      <c r="S25" s="35">
        <f t="shared" ref="S25:S30" si="56">DATE(Anolu,MONTH($S$22),1)-WEEKDAY(DATE(Anolu,MONTH($S$22),1),(Débutsemlu="Lundi")+1)+$A7*7-6</f>
        <v>43703</v>
      </c>
      <c r="T25" s="36">
        <f t="shared" ref="T25:T30" si="57">DATE(Anolu,MONTH($S$22),1)-WEEKDAY(DATE(Anolu,MONTH($S$22),1),(Débutsemlu="Lundi")+1)+$A7*7-5</f>
        <v>43704</v>
      </c>
      <c r="U25" s="36">
        <f t="shared" ref="U25:U30" si="58">DATE(Anolu,MONTH($S$22),1)-WEEKDAY(DATE(Anolu,MONTH($S$22),1),(Débutsemlu="Lundi")+1)+$A7*7-4</f>
        <v>43705</v>
      </c>
      <c r="V25" s="36">
        <f t="shared" ref="V25:V30" si="59">DATE(Anolu,MONTH($S$22),1)-WEEKDAY(DATE(Anolu,MONTH($S$22),1),(Débutsemlu="Lundi")+1)+$A7*7-3</f>
        <v>43706</v>
      </c>
      <c r="W25" s="36">
        <f t="shared" ref="W25:W30" si="60">DATE(Anolu,MONTH($S$22),1)-WEEKDAY(DATE(Anolu,MONTH($S$22),1),(Débutsemlu="Lundi")+1)+$A7*7-2</f>
        <v>43707</v>
      </c>
      <c r="X25" s="37">
        <f t="shared" ref="X25:X30" si="61">DATE(Anolu,MONTH($S$22),1)-WEEKDAY(DATE(Anolu,MONTH($S$22),1),(Débutsemlu="Lundi")+1)+$A7*7-1</f>
        <v>43708</v>
      </c>
      <c r="Y25" s="38">
        <f t="shared" ref="Y25:Y30" si="62">DATE(Anolu,MONTH($S$22),1)-WEEKDAY(DATE(Anolu,MONTH($S$22),1),(Débutsemlu="Lundi")+1)+$A7*7</f>
        <v>43709</v>
      </c>
      <c r="Z25" s="14"/>
      <c r="AA25" s="214"/>
    </row>
    <row r="26" spans="1:27" ht="20.6" customHeight="1" x14ac:dyDescent="0.3">
      <c r="A26" s="15">
        <v>2</v>
      </c>
      <c r="B26" s="8"/>
      <c r="C26" s="39">
        <f t="shared" si="42"/>
        <v>43654</v>
      </c>
      <c r="D26" s="40">
        <f t="shared" si="43"/>
        <v>43655</v>
      </c>
      <c r="E26" s="40">
        <f t="shared" si="44"/>
        <v>43656</v>
      </c>
      <c r="F26" s="40">
        <f t="shared" si="45"/>
        <v>43657</v>
      </c>
      <c r="G26" s="40">
        <f t="shared" si="46"/>
        <v>43658</v>
      </c>
      <c r="H26" s="41">
        <f t="shared" si="47"/>
        <v>43659</v>
      </c>
      <c r="I26" s="42">
        <f t="shared" si="48"/>
        <v>43660</v>
      </c>
      <c r="J26" s="15"/>
      <c r="K26" s="39">
        <f t="shared" si="49"/>
        <v>43682</v>
      </c>
      <c r="L26" s="40">
        <f t="shared" si="50"/>
        <v>43683</v>
      </c>
      <c r="M26" s="40">
        <f t="shared" si="51"/>
        <v>43684</v>
      </c>
      <c r="N26" s="40">
        <f t="shared" si="52"/>
        <v>43685</v>
      </c>
      <c r="O26" s="40">
        <f t="shared" si="53"/>
        <v>43686</v>
      </c>
      <c r="P26" s="41">
        <f t="shared" si="54"/>
        <v>43687</v>
      </c>
      <c r="Q26" s="42">
        <f t="shared" si="55"/>
        <v>43688</v>
      </c>
      <c r="R26" s="15"/>
      <c r="S26" s="39">
        <f t="shared" si="56"/>
        <v>43710</v>
      </c>
      <c r="T26" s="40">
        <f t="shared" si="57"/>
        <v>43711</v>
      </c>
      <c r="U26" s="40">
        <f t="shared" si="58"/>
        <v>43712</v>
      </c>
      <c r="V26" s="40">
        <f t="shared" si="59"/>
        <v>43713</v>
      </c>
      <c r="W26" s="40">
        <f t="shared" si="60"/>
        <v>43714</v>
      </c>
      <c r="X26" s="41">
        <f t="shared" si="61"/>
        <v>43715</v>
      </c>
      <c r="Y26" s="42">
        <f t="shared" si="62"/>
        <v>43716</v>
      </c>
      <c r="Z26" s="14"/>
      <c r="AA26" s="214"/>
    </row>
    <row r="27" spans="1:27" ht="20.6" customHeight="1" x14ac:dyDescent="0.3">
      <c r="A27" s="15">
        <v>3</v>
      </c>
      <c r="B27" s="8"/>
      <c r="C27" s="39">
        <f t="shared" si="42"/>
        <v>43661</v>
      </c>
      <c r="D27" s="40">
        <f t="shared" si="43"/>
        <v>43662</v>
      </c>
      <c r="E27" s="40">
        <f t="shared" si="44"/>
        <v>43663</v>
      </c>
      <c r="F27" s="40">
        <f t="shared" si="45"/>
        <v>43664</v>
      </c>
      <c r="G27" s="40">
        <f t="shared" si="46"/>
        <v>43665</v>
      </c>
      <c r="H27" s="41">
        <f t="shared" si="47"/>
        <v>43666</v>
      </c>
      <c r="I27" s="42">
        <f t="shared" si="48"/>
        <v>43667</v>
      </c>
      <c r="J27" s="15"/>
      <c r="K27" s="39">
        <f t="shared" si="49"/>
        <v>43689</v>
      </c>
      <c r="L27" s="40">
        <f t="shared" si="50"/>
        <v>43690</v>
      </c>
      <c r="M27" s="40">
        <f t="shared" si="51"/>
        <v>43691</v>
      </c>
      <c r="N27" s="40">
        <f t="shared" si="52"/>
        <v>43692</v>
      </c>
      <c r="O27" s="40">
        <f t="shared" si="53"/>
        <v>43693</v>
      </c>
      <c r="P27" s="41">
        <f t="shared" si="54"/>
        <v>43694</v>
      </c>
      <c r="Q27" s="42">
        <f t="shared" si="55"/>
        <v>43695</v>
      </c>
      <c r="R27" s="15"/>
      <c r="S27" s="39">
        <f t="shared" si="56"/>
        <v>43717</v>
      </c>
      <c r="T27" s="40">
        <f t="shared" si="57"/>
        <v>43718</v>
      </c>
      <c r="U27" s="40">
        <f t="shared" si="58"/>
        <v>43719</v>
      </c>
      <c r="V27" s="40">
        <f t="shared" si="59"/>
        <v>43720</v>
      </c>
      <c r="W27" s="40">
        <f t="shared" si="60"/>
        <v>43721</v>
      </c>
      <c r="X27" s="41">
        <f t="shared" si="61"/>
        <v>43722</v>
      </c>
      <c r="Y27" s="42">
        <f t="shared" si="62"/>
        <v>43723</v>
      </c>
      <c r="Z27" s="14"/>
      <c r="AA27" s="214"/>
    </row>
    <row r="28" spans="1:27" ht="20.6" customHeight="1" x14ac:dyDescent="0.3">
      <c r="A28" s="15">
        <v>4</v>
      </c>
      <c r="B28" s="8"/>
      <c r="C28" s="39">
        <f t="shared" si="42"/>
        <v>43668</v>
      </c>
      <c r="D28" s="40">
        <f t="shared" si="43"/>
        <v>43669</v>
      </c>
      <c r="E28" s="40">
        <f t="shared" si="44"/>
        <v>43670</v>
      </c>
      <c r="F28" s="40">
        <f t="shared" si="45"/>
        <v>43671</v>
      </c>
      <c r="G28" s="40">
        <f t="shared" si="46"/>
        <v>43672</v>
      </c>
      <c r="H28" s="41">
        <f t="shared" si="47"/>
        <v>43673</v>
      </c>
      <c r="I28" s="42">
        <f t="shared" si="48"/>
        <v>43674</v>
      </c>
      <c r="J28" s="15"/>
      <c r="K28" s="39">
        <f t="shared" si="49"/>
        <v>43696</v>
      </c>
      <c r="L28" s="40">
        <f t="shared" si="50"/>
        <v>43697</v>
      </c>
      <c r="M28" s="40">
        <f t="shared" si="51"/>
        <v>43698</v>
      </c>
      <c r="N28" s="40">
        <f t="shared" si="52"/>
        <v>43699</v>
      </c>
      <c r="O28" s="40">
        <f t="shared" si="53"/>
        <v>43700</v>
      </c>
      <c r="P28" s="41">
        <f t="shared" si="54"/>
        <v>43701</v>
      </c>
      <c r="Q28" s="42">
        <f t="shared" si="55"/>
        <v>43702</v>
      </c>
      <c r="R28" s="15"/>
      <c r="S28" s="39">
        <f t="shared" si="56"/>
        <v>43724</v>
      </c>
      <c r="T28" s="40">
        <f t="shared" si="57"/>
        <v>43725</v>
      </c>
      <c r="U28" s="40">
        <f t="shared" si="58"/>
        <v>43726</v>
      </c>
      <c r="V28" s="40">
        <f t="shared" si="59"/>
        <v>43727</v>
      </c>
      <c r="W28" s="40">
        <f t="shared" si="60"/>
        <v>43728</v>
      </c>
      <c r="X28" s="41">
        <f t="shared" si="61"/>
        <v>43729</v>
      </c>
      <c r="Y28" s="42">
        <f t="shared" si="62"/>
        <v>43730</v>
      </c>
      <c r="Z28" s="14"/>
      <c r="AA28" s="214"/>
    </row>
    <row r="29" spans="1:27" ht="20.6" customHeight="1" x14ac:dyDescent="0.3">
      <c r="A29" s="15">
        <v>5</v>
      </c>
      <c r="B29" s="8"/>
      <c r="C29" s="39">
        <f t="shared" si="42"/>
        <v>43675</v>
      </c>
      <c r="D29" s="40">
        <f t="shared" si="43"/>
        <v>43676</v>
      </c>
      <c r="E29" s="40">
        <f t="shared" si="44"/>
        <v>43677</v>
      </c>
      <c r="F29" s="40">
        <f t="shared" si="45"/>
        <v>43678</v>
      </c>
      <c r="G29" s="40">
        <f t="shared" si="46"/>
        <v>43679</v>
      </c>
      <c r="H29" s="41">
        <f t="shared" si="47"/>
        <v>43680</v>
      </c>
      <c r="I29" s="42">
        <f t="shared" si="48"/>
        <v>43681</v>
      </c>
      <c r="J29" s="15"/>
      <c r="K29" s="39">
        <f t="shared" si="49"/>
        <v>43703</v>
      </c>
      <c r="L29" s="40">
        <f t="shared" si="50"/>
        <v>43704</v>
      </c>
      <c r="M29" s="40">
        <f t="shared" si="51"/>
        <v>43705</v>
      </c>
      <c r="N29" s="40">
        <f t="shared" si="52"/>
        <v>43706</v>
      </c>
      <c r="O29" s="40">
        <f t="shared" si="53"/>
        <v>43707</v>
      </c>
      <c r="P29" s="41">
        <f t="shared" si="54"/>
        <v>43708</v>
      </c>
      <c r="Q29" s="42">
        <f t="shared" si="55"/>
        <v>43709</v>
      </c>
      <c r="R29" s="15"/>
      <c r="S29" s="39">
        <f t="shared" si="56"/>
        <v>43731</v>
      </c>
      <c r="T29" s="40">
        <f t="shared" si="57"/>
        <v>43732</v>
      </c>
      <c r="U29" s="40">
        <f t="shared" si="58"/>
        <v>43733</v>
      </c>
      <c r="V29" s="40">
        <f t="shared" si="59"/>
        <v>43734</v>
      </c>
      <c r="W29" s="40">
        <f t="shared" si="60"/>
        <v>43735</v>
      </c>
      <c r="X29" s="41">
        <f t="shared" si="61"/>
        <v>43736</v>
      </c>
      <c r="Y29" s="42">
        <f t="shared" si="62"/>
        <v>43737</v>
      </c>
      <c r="Z29" s="14"/>
      <c r="AA29" s="214"/>
    </row>
    <row r="30" spans="1:27" ht="20.6" customHeight="1" thickBot="1" x14ac:dyDescent="0.35">
      <c r="A30" s="15">
        <v>6</v>
      </c>
      <c r="B30" s="8"/>
      <c r="C30" s="45">
        <f t="shared" si="42"/>
        <v>43682</v>
      </c>
      <c r="D30" s="46">
        <f t="shared" si="43"/>
        <v>43683</v>
      </c>
      <c r="E30" s="46">
        <f t="shared" si="44"/>
        <v>43684</v>
      </c>
      <c r="F30" s="46">
        <f t="shared" si="45"/>
        <v>43685</v>
      </c>
      <c r="G30" s="46">
        <f t="shared" si="46"/>
        <v>43686</v>
      </c>
      <c r="H30" s="47">
        <f t="shared" si="47"/>
        <v>43687</v>
      </c>
      <c r="I30" s="48">
        <f t="shared" si="48"/>
        <v>43688</v>
      </c>
      <c r="J30" s="15"/>
      <c r="K30" s="45">
        <f t="shared" si="49"/>
        <v>43710</v>
      </c>
      <c r="L30" s="46">
        <f t="shared" si="50"/>
        <v>43711</v>
      </c>
      <c r="M30" s="46">
        <f t="shared" si="51"/>
        <v>43712</v>
      </c>
      <c r="N30" s="46">
        <f t="shared" si="52"/>
        <v>43713</v>
      </c>
      <c r="O30" s="46">
        <f t="shared" si="53"/>
        <v>43714</v>
      </c>
      <c r="P30" s="47">
        <f t="shared" si="54"/>
        <v>43715</v>
      </c>
      <c r="Q30" s="48">
        <f t="shared" si="55"/>
        <v>43716</v>
      </c>
      <c r="R30" s="15"/>
      <c r="S30" s="45">
        <f t="shared" si="56"/>
        <v>43738</v>
      </c>
      <c r="T30" s="46">
        <f t="shared" si="57"/>
        <v>43739</v>
      </c>
      <c r="U30" s="46">
        <f t="shared" si="58"/>
        <v>43740</v>
      </c>
      <c r="V30" s="46">
        <f t="shared" si="59"/>
        <v>43741</v>
      </c>
      <c r="W30" s="46">
        <f t="shared" si="60"/>
        <v>43742</v>
      </c>
      <c r="X30" s="47">
        <f t="shared" si="61"/>
        <v>43743</v>
      </c>
      <c r="Y30" s="48">
        <f t="shared" si="62"/>
        <v>43744</v>
      </c>
      <c r="Z30" s="14"/>
      <c r="AA30" s="214"/>
    </row>
    <row r="31" spans="1:27" ht="13.35" customHeight="1" thickBot="1" x14ac:dyDescent="0.35">
      <c r="A31" s="15"/>
      <c r="B31" s="8"/>
      <c r="C31" s="215">
        <f>DATE(Anolu,10,1)</f>
        <v>43739</v>
      </c>
      <c r="D31" s="215"/>
      <c r="E31" s="215"/>
      <c r="F31" s="215"/>
      <c r="G31" s="215"/>
      <c r="H31" s="215"/>
      <c r="I31" s="215"/>
      <c r="J31" s="15"/>
      <c r="K31" s="215">
        <f>DATE(Anolu,11,1)</f>
        <v>43770</v>
      </c>
      <c r="L31" s="215"/>
      <c r="M31" s="215"/>
      <c r="N31" s="215"/>
      <c r="O31" s="215"/>
      <c r="P31" s="215"/>
      <c r="Q31" s="215"/>
      <c r="R31" s="15"/>
      <c r="S31" s="215">
        <f>DATE(Anolu,12,1)</f>
        <v>43800</v>
      </c>
      <c r="T31" s="215"/>
      <c r="U31" s="215"/>
      <c r="V31" s="215"/>
      <c r="W31" s="215"/>
      <c r="X31" s="215"/>
      <c r="Y31" s="215"/>
      <c r="Z31" s="7"/>
      <c r="AA31" s="214"/>
    </row>
    <row r="32" spans="1:27" s="20" customFormat="1" ht="20.6" customHeight="1" thickBot="1" x14ac:dyDescent="0.35">
      <c r="A32" s="10"/>
      <c r="B32" s="17"/>
      <c r="C32" s="216" t="str">
        <f>CHOOSE(MONTH(C4),"OCTOBRE")</f>
        <v>OCTOBRE</v>
      </c>
      <c r="D32" s="217"/>
      <c r="E32" s="217"/>
      <c r="F32" s="217"/>
      <c r="G32" s="217"/>
      <c r="H32" s="217"/>
      <c r="I32" s="218"/>
      <c r="J32" s="10"/>
      <c r="K32" s="216" t="str">
        <f>CHOOSE(MONTH(C4),"NOVEMBRE")</f>
        <v>NOVEMBRE</v>
      </c>
      <c r="L32" s="217"/>
      <c r="M32" s="217"/>
      <c r="N32" s="217"/>
      <c r="O32" s="217"/>
      <c r="P32" s="217"/>
      <c r="Q32" s="218"/>
      <c r="R32" s="10"/>
      <c r="S32" s="216" t="str">
        <f>CHOOSE(MONTH(C4),"DÉCEMBRE")</f>
        <v>DÉCEMBRE</v>
      </c>
      <c r="T32" s="217"/>
      <c r="U32" s="217"/>
      <c r="V32" s="217"/>
      <c r="W32" s="217"/>
      <c r="X32" s="217"/>
      <c r="Y32" s="218"/>
      <c r="Z32" s="19"/>
      <c r="AA32" s="214"/>
    </row>
    <row r="33" spans="1:27" s="20" customFormat="1" ht="16.350000000000001" customHeight="1" thickBot="1" x14ac:dyDescent="0.35">
      <c r="A33" s="10"/>
      <c r="B33" s="51"/>
      <c r="C33" s="74" t="s">
        <v>113</v>
      </c>
      <c r="D33" s="74" t="s">
        <v>114</v>
      </c>
      <c r="E33" s="74" t="s">
        <v>115</v>
      </c>
      <c r="F33" s="74" t="s">
        <v>116</v>
      </c>
      <c r="G33" s="74" t="s">
        <v>117</v>
      </c>
      <c r="H33" s="80" t="s">
        <v>118</v>
      </c>
      <c r="I33" s="80" t="s">
        <v>119</v>
      </c>
      <c r="J33" s="27"/>
      <c r="K33" s="74" t="s">
        <v>113</v>
      </c>
      <c r="L33" s="74" t="s">
        <v>114</v>
      </c>
      <c r="M33" s="74" t="s">
        <v>115</v>
      </c>
      <c r="N33" s="74" t="s">
        <v>116</v>
      </c>
      <c r="O33" s="74" t="s">
        <v>117</v>
      </c>
      <c r="P33" s="80" t="s">
        <v>118</v>
      </c>
      <c r="Q33" s="80" t="s">
        <v>119</v>
      </c>
      <c r="R33" s="27"/>
      <c r="S33" s="74" t="s">
        <v>113</v>
      </c>
      <c r="T33" s="74" t="s">
        <v>114</v>
      </c>
      <c r="U33" s="74" t="s">
        <v>115</v>
      </c>
      <c r="V33" s="74" t="s">
        <v>116</v>
      </c>
      <c r="W33" s="74" t="s">
        <v>117</v>
      </c>
      <c r="X33" s="80" t="s">
        <v>118</v>
      </c>
      <c r="Y33" s="80" t="s">
        <v>119</v>
      </c>
      <c r="Z33" s="78"/>
      <c r="AA33" s="214"/>
    </row>
    <row r="34" spans="1:27" ht="20.6" customHeight="1" x14ac:dyDescent="0.3">
      <c r="A34" s="15"/>
      <c r="B34" s="8"/>
      <c r="C34" s="35">
        <f t="shared" ref="C34:C39" si="63">DATE(Anolu,MONTH($C$31),1)-WEEKDAY(DATE(Anolu,MONTH($C$31),1),(Débutsemlu="Lundi")+1)+$A7*7-6</f>
        <v>43738</v>
      </c>
      <c r="D34" s="36">
        <f t="shared" ref="D34:D39" si="64">DATE(Anolu,MONTH($C$31),1)-WEEKDAY(DATE(Anolu,MONTH($C$31),1),(Débutsemlu="Lundi")+1)+$A7*7-5</f>
        <v>43739</v>
      </c>
      <c r="E34" s="36">
        <f t="shared" ref="E34:E39" si="65">DATE(Anolu,MONTH($C$31),1)-WEEKDAY(DATE(Anolu,MONTH($C$31),1),(Débutsemlu="Lundi")+1)+$A7*7-4</f>
        <v>43740</v>
      </c>
      <c r="F34" s="36">
        <f t="shared" ref="F34:F39" si="66">DATE(Anolu,MONTH($C$31),1)-WEEKDAY(DATE(Anolu,MONTH($C$31),1),(Débutsemlu="Lundi")+1)+$A7*7-3</f>
        <v>43741</v>
      </c>
      <c r="G34" s="36">
        <f t="shared" ref="G34:G39" si="67">DATE(Anolu,MONTH($C$31),1)-WEEKDAY(DATE(Anolu,MONTH($C$31),1),(Débutsemlu="Lundi")+1)+$A7*7-2</f>
        <v>43742</v>
      </c>
      <c r="H34" s="37">
        <f t="shared" ref="H34:H39" si="68">DATE(Anolu,MONTH($C$31),1)-WEEKDAY(DATE(Anolu,MONTH($C$31),1),(Débutsemlu="Lundi")+1)+$A7*7-1</f>
        <v>43743</v>
      </c>
      <c r="I34" s="38">
        <f t="shared" ref="I34:I39" si="69">DATE(Anolu,MONTH($C$31),1)-WEEKDAY(DATE(Anolu,MONTH($C$31),1),(Débutsemlu="Lundi")+1)+$A7*7</f>
        <v>43744</v>
      </c>
      <c r="J34" s="15"/>
      <c r="K34" s="35">
        <f t="shared" ref="K34:K39" si="70">DATE(Anolu,MONTH($K$31),1)-WEEKDAY(DATE(Anolu,MONTH($K$31),1),(Débutsemlu="Lundi")+1)+$A7*7-6</f>
        <v>43766</v>
      </c>
      <c r="L34" s="36">
        <f t="shared" ref="L34:L39" si="71">DATE(Anolu,MONTH($K$31),1)-WEEKDAY(DATE(Anolu,MONTH($K$31),1),(Débutsemlu="Lundi")+1)+$A7*7-5</f>
        <v>43767</v>
      </c>
      <c r="M34" s="36">
        <f t="shared" ref="M34:M39" si="72">DATE(Anolu,MONTH($K$31),1)-WEEKDAY(DATE(Anolu,MONTH($K$31),1),(Débutsemlu="Lundi")+1)+$A7*7-4</f>
        <v>43768</v>
      </c>
      <c r="N34" s="36">
        <f t="shared" ref="N34:N39" si="73">DATE(Anolu,MONTH($K$31),1)-WEEKDAY(DATE(Anolu,MONTH($K$31),1),(Débutsemlu="Lundi")+1)+$A7*7-3</f>
        <v>43769</v>
      </c>
      <c r="O34" s="36">
        <f t="shared" ref="O34:O39" si="74">DATE(Anolu,MONTH($K$31),1)-WEEKDAY(DATE(Anolu,MONTH($K$31),1),(Débutsemlu="Lundi")+1)+$A7*7-2</f>
        <v>43770</v>
      </c>
      <c r="P34" s="37">
        <f t="shared" ref="P34:P39" si="75">DATE(Anolu,MONTH($K$31),1)-WEEKDAY(DATE(Anolu,MONTH($K$31),1),(Débutsemlu="Lundi")+1)+$A7*7-1</f>
        <v>43771</v>
      </c>
      <c r="Q34" s="38">
        <f t="shared" ref="Q34:Q39" si="76">DATE(Anolu,MONTH($K$31),1)-WEEKDAY(DATE(Anolu,MONTH($K$31),1),(Débutsemlu="Lundi")+1)+$A7*7</f>
        <v>43772</v>
      </c>
      <c r="R34" s="15"/>
      <c r="S34" s="35">
        <f t="shared" ref="S34:S39" si="77">DATE(Anolu,MONTH($S$31),1)-WEEKDAY(DATE(Anolu,MONTH($S$31),1),(Débutsemlu="Lundi")+1)+$A7*7-6</f>
        <v>43794</v>
      </c>
      <c r="T34" s="36">
        <f t="shared" ref="T34:T39" si="78">DATE(Anolu,MONTH($S$31),1)-WEEKDAY(DATE(Anolu,MONTH($S$31),1),(Débutsemlu="Lundi")+1)+$A7*7-5</f>
        <v>43795</v>
      </c>
      <c r="U34" s="36">
        <f t="shared" ref="U34:U39" si="79">DATE(Anolu,MONTH($S$31),1)-WEEKDAY(DATE(Anolu,MONTH($S$31),1),(Débutsemlu="Lundi")+1)+$A7*7-4</f>
        <v>43796</v>
      </c>
      <c r="V34" s="36">
        <f t="shared" ref="V34:V39" si="80">DATE(Anolu,MONTH($S$31),1)-WEEKDAY(DATE(Anolu,MONTH($S$31),1),(Débutsemlu="Lundi")+1)+$A7*7-3</f>
        <v>43797</v>
      </c>
      <c r="W34" s="36">
        <f t="shared" ref="W34:W39" si="81">DATE(Anolu,MONTH($S$31),1)-WEEKDAY(DATE(Anolu,MONTH($S$31),1),(Débutsemlu="Lundi")+1)+$A7*7-2</f>
        <v>43798</v>
      </c>
      <c r="X34" s="37">
        <f t="shared" ref="X34:X39" si="82">DATE(Anolu,MONTH($S$31),1)-WEEKDAY(DATE(Anolu,MONTH($S$31),1),(Débutsemlu="Lundi")+1)+$A7*7-1</f>
        <v>43799</v>
      </c>
      <c r="Y34" s="38">
        <f t="shared" ref="Y34:Y39" si="83">DATE(Anolu,MONTH($S$31),1)-WEEKDAY(DATE(Anolu,MONTH($S$31),1),(Débutsemlu="Lundi")+1)+$A7*7</f>
        <v>43800</v>
      </c>
      <c r="Z34" s="14"/>
      <c r="AA34" s="214"/>
    </row>
    <row r="35" spans="1:27" ht="20.6" customHeight="1" x14ac:dyDescent="0.3">
      <c r="A35" s="15"/>
      <c r="B35" s="8"/>
      <c r="C35" s="39">
        <f t="shared" si="63"/>
        <v>43745</v>
      </c>
      <c r="D35" s="40">
        <f t="shared" si="64"/>
        <v>43746</v>
      </c>
      <c r="E35" s="40">
        <f t="shared" si="65"/>
        <v>43747</v>
      </c>
      <c r="F35" s="40">
        <f t="shared" si="66"/>
        <v>43748</v>
      </c>
      <c r="G35" s="40">
        <f t="shared" si="67"/>
        <v>43749</v>
      </c>
      <c r="H35" s="41">
        <f t="shared" si="68"/>
        <v>43750</v>
      </c>
      <c r="I35" s="42">
        <f t="shared" si="69"/>
        <v>43751</v>
      </c>
      <c r="J35" s="15"/>
      <c r="K35" s="39">
        <f t="shared" si="70"/>
        <v>43773</v>
      </c>
      <c r="L35" s="40">
        <f t="shared" si="71"/>
        <v>43774</v>
      </c>
      <c r="M35" s="40">
        <f t="shared" si="72"/>
        <v>43775</v>
      </c>
      <c r="N35" s="40">
        <f t="shared" si="73"/>
        <v>43776</v>
      </c>
      <c r="O35" s="40">
        <f t="shared" si="74"/>
        <v>43777</v>
      </c>
      <c r="P35" s="41">
        <f t="shared" si="75"/>
        <v>43778</v>
      </c>
      <c r="Q35" s="42">
        <f t="shared" si="76"/>
        <v>43779</v>
      </c>
      <c r="R35" s="15"/>
      <c r="S35" s="39">
        <f t="shared" si="77"/>
        <v>43801</v>
      </c>
      <c r="T35" s="40">
        <f t="shared" si="78"/>
        <v>43802</v>
      </c>
      <c r="U35" s="40">
        <f t="shared" si="79"/>
        <v>43803</v>
      </c>
      <c r="V35" s="40">
        <f t="shared" si="80"/>
        <v>43804</v>
      </c>
      <c r="W35" s="40">
        <f t="shared" si="81"/>
        <v>43805</v>
      </c>
      <c r="X35" s="41">
        <f t="shared" si="82"/>
        <v>43806</v>
      </c>
      <c r="Y35" s="42">
        <f t="shared" si="83"/>
        <v>43807</v>
      </c>
      <c r="Z35" s="14"/>
      <c r="AA35" s="214"/>
    </row>
    <row r="36" spans="1:27" ht="20.6" customHeight="1" x14ac:dyDescent="0.3">
      <c r="A36" s="15"/>
      <c r="B36" s="8"/>
      <c r="C36" s="39">
        <f t="shared" si="63"/>
        <v>43752</v>
      </c>
      <c r="D36" s="40">
        <f t="shared" si="64"/>
        <v>43753</v>
      </c>
      <c r="E36" s="40">
        <f t="shared" si="65"/>
        <v>43754</v>
      </c>
      <c r="F36" s="40">
        <f t="shared" si="66"/>
        <v>43755</v>
      </c>
      <c r="G36" s="40">
        <f t="shared" si="67"/>
        <v>43756</v>
      </c>
      <c r="H36" s="41">
        <f t="shared" si="68"/>
        <v>43757</v>
      </c>
      <c r="I36" s="42">
        <f t="shared" si="69"/>
        <v>43758</v>
      </c>
      <c r="J36" s="15"/>
      <c r="K36" s="39">
        <f t="shared" si="70"/>
        <v>43780</v>
      </c>
      <c r="L36" s="40">
        <f t="shared" si="71"/>
        <v>43781</v>
      </c>
      <c r="M36" s="40">
        <f t="shared" si="72"/>
        <v>43782</v>
      </c>
      <c r="N36" s="40">
        <f t="shared" si="73"/>
        <v>43783</v>
      </c>
      <c r="O36" s="40">
        <f t="shared" si="74"/>
        <v>43784</v>
      </c>
      <c r="P36" s="41">
        <f t="shared" si="75"/>
        <v>43785</v>
      </c>
      <c r="Q36" s="42">
        <f t="shared" si="76"/>
        <v>43786</v>
      </c>
      <c r="R36" s="15"/>
      <c r="S36" s="39">
        <f t="shared" si="77"/>
        <v>43808</v>
      </c>
      <c r="T36" s="40">
        <f t="shared" si="78"/>
        <v>43809</v>
      </c>
      <c r="U36" s="40">
        <f t="shared" si="79"/>
        <v>43810</v>
      </c>
      <c r="V36" s="40">
        <f t="shared" si="80"/>
        <v>43811</v>
      </c>
      <c r="W36" s="40">
        <f t="shared" si="81"/>
        <v>43812</v>
      </c>
      <c r="X36" s="41">
        <f t="shared" si="82"/>
        <v>43813</v>
      </c>
      <c r="Y36" s="42">
        <f t="shared" si="83"/>
        <v>43814</v>
      </c>
      <c r="Z36" s="14"/>
      <c r="AA36" s="214"/>
    </row>
    <row r="37" spans="1:27" ht="20.6" customHeight="1" x14ac:dyDescent="0.3">
      <c r="A37" s="15"/>
      <c r="B37" s="8"/>
      <c r="C37" s="39">
        <f t="shared" si="63"/>
        <v>43759</v>
      </c>
      <c r="D37" s="40">
        <f t="shared" si="64"/>
        <v>43760</v>
      </c>
      <c r="E37" s="40">
        <f t="shared" si="65"/>
        <v>43761</v>
      </c>
      <c r="F37" s="40">
        <f t="shared" si="66"/>
        <v>43762</v>
      </c>
      <c r="G37" s="40">
        <f t="shared" si="67"/>
        <v>43763</v>
      </c>
      <c r="H37" s="41">
        <f t="shared" si="68"/>
        <v>43764</v>
      </c>
      <c r="I37" s="42">
        <f t="shared" si="69"/>
        <v>43765</v>
      </c>
      <c r="J37" s="15"/>
      <c r="K37" s="39">
        <f t="shared" si="70"/>
        <v>43787</v>
      </c>
      <c r="L37" s="40">
        <f t="shared" si="71"/>
        <v>43788</v>
      </c>
      <c r="M37" s="40">
        <f t="shared" si="72"/>
        <v>43789</v>
      </c>
      <c r="N37" s="40">
        <f t="shared" si="73"/>
        <v>43790</v>
      </c>
      <c r="O37" s="40">
        <f t="shared" si="74"/>
        <v>43791</v>
      </c>
      <c r="P37" s="41">
        <f t="shared" si="75"/>
        <v>43792</v>
      </c>
      <c r="Q37" s="42">
        <f t="shared" si="76"/>
        <v>43793</v>
      </c>
      <c r="R37" s="15"/>
      <c r="S37" s="39">
        <f t="shared" si="77"/>
        <v>43815</v>
      </c>
      <c r="T37" s="40">
        <f t="shared" si="78"/>
        <v>43816</v>
      </c>
      <c r="U37" s="40">
        <f t="shared" si="79"/>
        <v>43817</v>
      </c>
      <c r="V37" s="40">
        <f t="shared" si="80"/>
        <v>43818</v>
      </c>
      <c r="W37" s="40">
        <f t="shared" si="81"/>
        <v>43819</v>
      </c>
      <c r="X37" s="41">
        <f t="shared" si="82"/>
        <v>43820</v>
      </c>
      <c r="Y37" s="42">
        <f t="shared" si="83"/>
        <v>43821</v>
      </c>
      <c r="Z37" s="14"/>
      <c r="AA37" s="214"/>
    </row>
    <row r="38" spans="1:27" ht="20.6" customHeight="1" x14ac:dyDescent="0.3">
      <c r="A38" s="15"/>
      <c r="B38" s="8"/>
      <c r="C38" s="39">
        <f t="shared" si="63"/>
        <v>43766</v>
      </c>
      <c r="D38" s="40">
        <f t="shared" si="64"/>
        <v>43767</v>
      </c>
      <c r="E38" s="40">
        <f t="shared" si="65"/>
        <v>43768</v>
      </c>
      <c r="F38" s="40">
        <f t="shared" si="66"/>
        <v>43769</v>
      </c>
      <c r="G38" s="40">
        <f t="shared" si="67"/>
        <v>43770</v>
      </c>
      <c r="H38" s="41">
        <f t="shared" si="68"/>
        <v>43771</v>
      </c>
      <c r="I38" s="42">
        <f t="shared" si="69"/>
        <v>43772</v>
      </c>
      <c r="J38" s="15"/>
      <c r="K38" s="39">
        <f t="shared" si="70"/>
        <v>43794</v>
      </c>
      <c r="L38" s="40">
        <f t="shared" si="71"/>
        <v>43795</v>
      </c>
      <c r="M38" s="40">
        <f t="shared" si="72"/>
        <v>43796</v>
      </c>
      <c r="N38" s="40">
        <f t="shared" si="73"/>
        <v>43797</v>
      </c>
      <c r="O38" s="40">
        <f t="shared" si="74"/>
        <v>43798</v>
      </c>
      <c r="P38" s="41">
        <f t="shared" si="75"/>
        <v>43799</v>
      </c>
      <c r="Q38" s="42">
        <f t="shared" si="76"/>
        <v>43800</v>
      </c>
      <c r="R38" s="15"/>
      <c r="S38" s="39">
        <f t="shared" si="77"/>
        <v>43822</v>
      </c>
      <c r="T38" s="40">
        <f t="shared" si="78"/>
        <v>43823</v>
      </c>
      <c r="U38" s="40">
        <f t="shared" si="79"/>
        <v>43824</v>
      </c>
      <c r="V38" s="40">
        <f t="shared" si="80"/>
        <v>43825</v>
      </c>
      <c r="W38" s="40">
        <f t="shared" si="81"/>
        <v>43826</v>
      </c>
      <c r="X38" s="41">
        <f t="shared" si="82"/>
        <v>43827</v>
      </c>
      <c r="Y38" s="42">
        <f t="shared" si="83"/>
        <v>43828</v>
      </c>
      <c r="Z38" s="14"/>
      <c r="AA38" s="214"/>
    </row>
    <row r="39" spans="1:27" ht="20.6" customHeight="1" thickBot="1" x14ac:dyDescent="0.35">
      <c r="A39" s="15"/>
      <c r="B39" s="8"/>
      <c r="C39" s="45">
        <f t="shared" si="63"/>
        <v>43773</v>
      </c>
      <c r="D39" s="46">
        <f t="shared" si="64"/>
        <v>43774</v>
      </c>
      <c r="E39" s="46">
        <f t="shared" si="65"/>
        <v>43775</v>
      </c>
      <c r="F39" s="46">
        <f t="shared" si="66"/>
        <v>43776</v>
      </c>
      <c r="G39" s="46">
        <f t="shared" si="67"/>
        <v>43777</v>
      </c>
      <c r="H39" s="47">
        <f t="shared" si="68"/>
        <v>43778</v>
      </c>
      <c r="I39" s="48">
        <f t="shared" si="69"/>
        <v>43779</v>
      </c>
      <c r="J39" s="15"/>
      <c r="K39" s="45">
        <f t="shared" si="70"/>
        <v>43801</v>
      </c>
      <c r="L39" s="46">
        <f t="shared" si="71"/>
        <v>43802</v>
      </c>
      <c r="M39" s="46">
        <f t="shared" si="72"/>
        <v>43803</v>
      </c>
      <c r="N39" s="46">
        <f t="shared" si="73"/>
        <v>43804</v>
      </c>
      <c r="O39" s="46">
        <f t="shared" si="74"/>
        <v>43805</v>
      </c>
      <c r="P39" s="47">
        <f t="shared" si="75"/>
        <v>43806</v>
      </c>
      <c r="Q39" s="48">
        <f t="shared" si="76"/>
        <v>43807</v>
      </c>
      <c r="R39" s="15"/>
      <c r="S39" s="45">
        <f t="shared" si="77"/>
        <v>43829</v>
      </c>
      <c r="T39" s="46">
        <f t="shared" si="78"/>
        <v>43830</v>
      </c>
      <c r="U39" s="46">
        <f t="shared" si="79"/>
        <v>43831</v>
      </c>
      <c r="V39" s="46">
        <f t="shared" si="80"/>
        <v>43832</v>
      </c>
      <c r="W39" s="46">
        <f t="shared" si="81"/>
        <v>43833</v>
      </c>
      <c r="X39" s="47">
        <f t="shared" si="82"/>
        <v>43834</v>
      </c>
      <c r="Y39" s="48">
        <f t="shared" si="83"/>
        <v>43835</v>
      </c>
      <c r="Z39" s="14"/>
      <c r="AA39" s="214"/>
    </row>
    <row r="40" spans="1:27" ht="8.5" customHeight="1" thickBot="1" x14ac:dyDescent="0.35">
      <c r="A40" s="15"/>
      <c r="B40" s="58"/>
      <c r="C40" s="59"/>
      <c r="D40" s="59"/>
      <c r="E40" s="59"/>
      <c r="F40" s="59"/>
      <c r="G40" s="59"/>
      <c r="H40" s="59"/>
      <c r="I40" s="59"/>
      <c r="J40" s="60"/>
      <c r="K40" s="59"/>
      <c r="L40" s="59"/>
      <c r="M40" s="59"/>
      <c r="N40" s="59"/>
      <c r="O40" s="59"/>
      <c r="P40" s="59"/>
      <c r="Q40" s="59"/>
      <c r="R40" s="60"/>
      <c r="S40" s="59"/>
      <c r="T40" s="59"/>
      <c r="U40" s="59"/>
      <c r="V40" s="59"/>
      <c r="W40" s="59"/>
      <c r="X40" s="59"/>
      <c r="Y40" s="59"/>
      <c r="Z40" s="61"/>
      <c r="AA40" s="214"/>
    </row>
    <row r="41" spans="1:27" ht="7.3" customHeight="1" x14ac:dyDescent="0.3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</row>
  </sheetData>
  <sheetProtection algorithmName="SHA-512" hashValue="+VUT0t9zTP7D0hGBeonj40fk+KZ/xdyJrCNy/clOKgL+Z0Dt0ccySCiZKSgvK34SRfcadmpGpoUxZZT8NKjZLw==" saltValue="Nb1fUHjnpgIufQ3atNseDg==" spinCount="100000" sheet="1" objects="1" scenarios="1"/>
  <mergeCells count="29">
    <mergeCell ref="S5:Y5"/>
    <mergeCell ref="C22:I22"/>
    <mergeCell ref="K22:Q22"/>
    <mergeCell ref="S22:Y22"/>
    <mergeCell ref="C23:I23"/>
    <mergeCell ref="K23:Q23"/>
    <mergeCell ref="S23:Y23"/>
    <mergeCell ref="C13:I13"/>
    <mergeCell ref="K13:Q13"/>
    <mergeCell ref="S13:Y13"/>
    <mergeCell ref="C14:I14"/>
    <mergeCell ref="K14:Q14"/>
    <mergeCell ref="S14:Y14"/>
    <mergeCell ref="D3:H3"/>
    <mergeCell ref="A41:AA41"/>
    <mergeCell ref="C31:I31"/>
    <mergeCell ref="K31:Q31"/>
    <mergeCell ref="S31:Y31"/>
    <mergeCell ref="C32:I32"/>
    <mergeCell ref="K32:Q32"/>
    <mergeCell ref="S32:Y32"/>
    <mergeCell ref="AA2:AA40"/>
    <mergeCell ref="K3:Q3"/>
    <mergeCell ref="T3:X3"/>
    <mergeCell ref="C4:I4"/>
    <mergeCell ref="K4:Q4"/>
    <mergeCell ref="S4:Y4"/>
    <mergeCell ref="C5:I5"/>
    <mergeCell ref="K5:Q5"/>
  </mergeCells>
  <conditionalFormatting sqref="C7:I7">
    <cfRule type="expression" dxfId="216" priority="24">
      <formula>DAY(C7)&gt;7</formula>
    </cfRule>
  </conditionalFormatting>
  <conditionalFormatting sqref="K7:Q7">
    <cfRule type="expression" dxfId="215" priority="23">
      <formula>DAY(K7)&gt;7</formula>
    </cfRule>
  </conditionalFormatting>
  <conditionalFormatting sqref="S7:Y7">
    <cfRule type="expression" dxfId="214" priority="22">
      <formula>DAY(S7)&gt;7</formula>
    </cfRule>
  </conditionalFormatting>
  <conditionalFormatting sqref="C16:I16">
    <cfRule type="expression" dxfId="213" priority="21">
      <formula>DAY(C16)&gt;7</formula>
    </cfRule>
  </conditionalFormatting>
  <conditionalFormatting sqref="K16:Q16">
    <cfRule type="expression" dxfId="212" priority="20">
      <formula>DAY(K16)&gt;7</formula>
    </cfRule>
  </conditionalFormatting>
  <conditionalFormatting sqref="S16:Y16">
    <cfRule type="expression" dxfId="211" priority="19">
      <formula>DAY(S16)&gt;7</formula>
    </cfRule>
  </conditionalFormatting>
  <conditionalFormatting sqref="C25:I25">
    <cfRule type="expression" dxfId="210" priority="18">
      <formula>DAY(C25)&gt;7</formula>
    </cfRule>
  </conditionalFormatting>
  <conditionalFormatting sqref="K25:Q25">
    <cfRule type="expression" dxfId="209" priority="17">
      <formula>DAY(K25)&gt;7</formula>
    </cfRule>
  </conditionalFormatting>
  <conditionalFormatting sqref="S25:Y25">
    <cfRule type="expression" dxfId="208" priority="16">
      <formula>DAY(S25)&gt;7</formula>
    </cfRule>
  </conditionalFormatting>
  <conditionalFormatting sqref="C34:I34">
    <cfRule type="expression" dxfId="207" priority="15">
      <formula>DAY(C34)&gt;7</formula>
    </cfRule>
  </conditionalFormatting>
  <conditionalFormatting sqref="K34:Q34">
    <cfRule type="expression" dxfId="206" priority="14">
      <formula>DAY(K34)&gt;7</formula>
    </cfRule>
  </conditionalFormatting>
  <conditionalFormatting sqref="S34:Y34">
    <cfRule type="expression" dxfId="205" priority="13">
      <formula>DAY(S34)&gt;7</formula>
    </cfRule>
  </conditionalFormatting>
  <conditionalFormatting sqref="C11:I12">
    <cfRule type="expression" dxfId="204" priority="12">
      <formula>DAY(C11)&lt;15</formula>
    </cfRule>
  </conditionalFormatting>
  <conditionalFormatting sqref="K11:Q12">
    <cfRule type="expression" dxfId="203" priority="11">
      <formula>DAY(K11)&lt;15</formula>
    </cfRule>
  </conditionalFormatting>
  <conditionalFormatting sqref="S11:Y12">
    <cfRule type="expression" dxfId="202" priority="10">
      <formula>DAY(S11)&lt;15</formula>
    </cfRule>
  </conditionalFormatting>
  <conditionalFormatting sqref="C20:I21">
    <cfRule type="expression" dxfId="201" priority="9">
      <formula>DAY(C20)&lt;15</formula>
    </cfRule>
  </conditionalFormatting>
  <conditionalFormatting sqref="K20:Q21">
    <cfRule type="expression" dxfId="200" priority="8">
      <formula>DAY(K20)&lt;15</formula>
    </cfRule>
  </conditionalFormatting>
  <conditionalFormatting sqref="S20:Y21">
    <cfRule type="expression" dxfId="199" priority="7">
      <formula>DAY(S20)&lt;15</formula>
    </cfRule>
  </conditionalFormatting>
  <conditionalFormatting sqref="C29:I30">
    <cfRule type="expression" dxfId="198" priority="6">
      <formula>DAY(C29)&lt;15</formula>
    </cfRule>
  </conditionalFormatting>
  <conditionalFormatting sqref="K29:Q30">
    <cfRule type="expression" dxfId="197" priority="5">
      <formula>DAY(K29)&lt;15</formula>
    </cfRule>
  </conditionalFormatting>
  <conditionalFormatting sqref="S29:Y30">
    <cfRule type="expression" dxfId="196" priority="4">
      <formula>DAY(S29)&lt;15</formula>
    </cfRule>
  </conditionalFormatting>
  <conditionalFormatting sqref="C38:I39">
    <cfRule type="expression" dxfId="195" priority="3">
      <formula>DAY(C38)&lt;15</formula>
    </cfRule>
  </conditionalFormatting>
  <conditionalFormatting sqref="K38:Q39">
    <cfRule type="expression" dxfId="194" priority="2">
      <formula>DAY(K38)&lt;15</formula>
    </cfRule>
  </conditionalFormatting>
  <conditionalFormatting sqref="S38:Y39">
    <cfRule type="expression" dxfId="193" priority="1">
      <formula>DAY(S38)&lt;15</formula>
    </cfRule>
  </conditionalFormatting>
  <conditionalFormatting sqref="C7:I12 K7:Q12 S7:Y12 C16:I21 K16:Q21 S16:Y21 C25:I30 K25:Q30 S25:Y30 C34:I39 K34:Q39 S34:Y39">
    <cfRule type="expression" dxfId="192" priority="25">
      <formula>C7=TODAY()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Spinner 2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AF513BB6-F11F-42DB-96A1-D80EF2BCDCC9}">
            <xm:f>VLOOKUP(C7,'Jours fériés'!$F$7:$F$17,1,FALSE)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8B99-5440-4BB1-A6A9-DE9C0378A5F9}">
  <dimension ref="A1:AC41"/>
  <sheetViews>
    <sheetView workbookViewId="0">
      <selection activeCell="C3" sqref="C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9" ht="7.3" customHeight="1" thickBot="1" x14ac:dyDescent="0.35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29" ht="8.5" customHeight="1" thickBot="1" x14ac:dyDescent="0.35">
      <c r="A2" s="2"/>
      <c r="B2" s="3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6"/>
      <c r="AA2" s="214"/>
    </row>
    <row r="3" spans="1:29" ht="21.8" customHeight="1" thickTop="1" thickBot="1" x14ac:dyDescent="0.35">
      <c r="A3" s="7"/>
      <c r="B3" s="8"/>
      <c r="C3" s="9"/>
      <c r="D3" s="10"/>
      <c r="E3" s="10"/>
      <c r="F3" s="10"/>
      <c r="G3" s="10"/>
      <c r="H3" s="10"/>
      <c r="I3" s="10"/>
      <c r="J3" s="11"/>
      <c r="K3" s="222">
        <v>2019</v>
      </c>
      <c r="L3" s="223"/>
      <c r="M3" s="223"/>
      <c r="N3" s="223"/>
      <c r="O3" s="223"/>
      <c r="P3" s="223"/>
      <c r="Q3" s="223"/>
      <c r="R3" s="12"/>
      <c r="S3" s="13"/>
      <c r="T3" s="224"/>
      <c r="U3" s="224"/>
      <c r="V3" s="224"/>
      <c r="W3" s="224"/>
      <c r="X3" s="224"/>
      <c r="Y3" s="10"/>
      <c r="Z3" s="14"/>
      <c r="AA3" s="214"/>
    </row>
    <row r="4" spans="1:29" ht="12.1" customHeight="1" thickTop="1" thickBot="1" x14ac:dyDescent="0.35">
      <c r="A4" s="15"/>
      <c r="B4" s="8"/>
      <c r="C4" s="215">
        <f>DATE(Anobe,1,1)</f>
        <v>43466</v>
      </c>
      <c r="D4" s="215"/>
      <c r="E4" s="215"/>
      <c r="F4" s="215"/>
      <c r="G4" s="215"/>
      <c r="H4" s="215"/>
      <c r="I4" s="215"/>
      <c r="J4" s="15"/>
      <c r="K4" s="225">
        <f>DATE(Anobe,2,1)</f>
        <v>43497</v>
      </c>
      <c r="L4" s="225"/>
      <c r="M4" s="225"/>
      <c r="N4" s="225"/>
      <c r="O4" s="225"/>
      <c r="P4" s="225"/>
      <c r="Q4" s="225"/>
      <c r="R4" s="16"/>
      <c r="S4" s="215">
        <f>DATE(Anobe,3,1)</f>
        <v>43525</v>
      </c>
      <c r="T4" s="215"/>
      <c r="U4" s="215"/>
      <c r="V4" s="215"/>
      <c r="W4" s="215"/>
      <c r="X4" s="215"/>
      <c r="Y4" s="215"/>
      <c r="Z4" s="7"/>
      <c r="AA4" s="214"/>
    </row>
    <row r="5" spans="1:29" s="20" customFormat="1" ht="20.6" customHeight="1" thickBot="1" x14ac:dyDescent="0.35">
      <c r="A5" s="10"/>
      <c r="B5" s="17"/>
      <c r="C5" s="227" t="str">
        <f>CHOOSE(MONTH(C4),"JANVIER")</f>
        <v>JANVIER</v>
      </c>
      <c r="D5" s="228"/>
      <c r="E5" s="228"/>
      <c r="F5" s="228"/>
      <c r="G5" s="228"/>
      <c r="H5" s="228"/>
      <c r="I5" s="229"/>
      <c r="J5" s="18" t="s">
        <v>0</v>
      </c>
      <c r="K5" s="227" t="str">
        <f>CHOOSE(MONTH(C4),"FÉVRIER")</f>
        <v>FÉVRIER</v>
      </c>
      <c r="L5" s="228"/>
      <c r="M5" s="228"/>
      <c r="N5" s="228"/>
      <c r="O5" s="228"/>
      <c r="P5" s="228"/>
      <c r="Q5" s="229"/>
      <c r="R5" s="10"/>
      <c r="S5" s="216" t="str">
        <f>CHOOSE(MONTH(C4),"MARS")</f>
        <v>MARS</v>
      </c>
      <c r="T5" s="217"/>
      <c r="U5" s="217"/>
      <c r="V5" s="217"/>
      <c r="W5" s="217"/>
      <c r="X5" s="217"/>
      <c r="Y5" s="218"/>
      <c r="Z5" s="19"/>
      <c r="AA5" s="214"/>
    </row>
    <row r="6" spans="1:29" s="20" customFormat="1" ht="16.350000000000001" customHeight="1" thickBot="1" x14ac:dyDescent="0.35">
      <c r="A6" s="10"/>
      <c r="B6" s="17"/>
      <c r="C6" s="82" t="str">
        <f t="shared" ref="C6:I6" si="0">CHOOSE(COLUMN(A$1)+(Débutsembe="Lundi"),"Di","Lu","Ma","Me","Je","Ve","Sa","Di")</f>
        <v>Lu</v>
      </c>
      <c r="D6" s="82" t="str">
        <f t="shared" si="0"/>
        <v>Ma</v>
      </c>
      <c r="E6" s="82" t="str">
        <f t="shared" si="0"/>
        <v>Me</v>
      </c>
      <c r="F6" s="82" t="str">
        <f t="shared" si="0"/>
        <v>Je</v>
      </c>
      <c r="G6" s="82" t="str">
        <f t="shared" si="0"/>
        <v>Ve</v>
      </c>
      <c r="H6" s="118" t="str">
        <f t="shared" si="0"/>
        <v>Sa</v>
      </c>
      <c r="I6" s="118" t="str">
        <f t="shared" si="0"/>
        <v>Di</v>
      </c>
      <c r="J6" s="10"/>
      <c r="K6" s="82" t="str">
        <f t="shared" ref="K6:Q6" si="1">CHOOSE(COLUMN(A$1)+(Débutsembe="Lundi"),"Di","Lu","Ma","Me","Je","Ve","Sa","Di")</f>
        <v>Lu</v>
      </c>
      <c r="L6" s="82" t="str">
        <f t="shared" si="1"/>
        <v>Ma</v>
      </c>
      <c r="M6" s="82" t="str">
        <f t="shared" si="1"/>
        <v>Me</v>
      </c>
      <c r="N6" s="82" t="str">
        <f t="shared" si="1"/>
        <v>Je</v>
      </c>
      <c r="O6" s="82" t="str">
        <f t="shared" si="1"/>
        <v>Ve</v>
      </c>
      <c r="P6" s="118" t="str">
        <f t="shared" si="1"/>
        <v>Sa</v>
      </c>
      <c r="Q6" s="118" t="str">
        <f t="shared" si="1"/>
        <v>Di</v>
      </c>
      <c r="R6" s="30"/>
      <c r="S6" s="74" t="str">
        <f t="shared" ref="S6:Y6" si="2">CHOOSE(COLUMN(A$1)+(Débutsembe="Lundi"),"Di","Lu","Ma","Me","Je","Ve","Sa","Di")</f>
        <v>Lu</v>
      </c>
      <c r="T6" s="74" t="str">
        <f t="shared" si="2"/>
        <v>Ma</v>
      </c>
      <c r="U6" s="74" t="str">
        <f t="shared" si="2"/>
        <v>Me</v>
      </c>
      <c r="V6" s="74" t="str">
        <f t="shared" si="2"/>
        <v>Je</v>
      </c>
      <c r="W6" s="74" t="str">
        <f t="shared" si="2"/>
        <v>Ve</v>
      </c>
      <c r="X6" s="80" t="str">
        <f t="shared" si="2"/>
        <v>Sa</v>
      </c>
      <c r="Y6" s="119" t="str">
        <f t="shared" si="2"/>
        <v>Di</v>
      </c>
      <c r="Z6" s="33"/>
      <c r="AA6" s="214"/>
    </row>
    <row r="7" spans="1:29" ht="20.6" customHeight="1" x14ac:dyDescent="0.3">
      <c r="A7" s="15">
        <v>1</v>
      </c>
      <c r="B7" s="8"/>
      <c r="C7" s="35">
        <f t="shared" ref="C7:C12" si="3">DATE(Anobe,MONTH($C$4),1)-WEEKDAY(DATE(Anobe,MONTH($C$4),1),(Débutsembe="Lundi")+1)+$A7*7-6</f>
        <v>43465</v>
      </c>
      <c r="D7" s="36">
        <f t="shared" ref="D7:D12" si="4">DATE(Anobe,MONTH($C$4),1)-WEEKDAY(DATE(Anobe,MONTH($C$4),1),(Débutsembe="Lundi")+1)+$A7*7-5</f>
        <v>43466</v>
      </c>
      <c r="E7" s="36">
        <f t="shared" ref="E7:E12" si="5">DATE(Anobe,MONTH($C$4),1)-WEEKDAY(DATE(Anobe,MONTH($C$4),1),(Débutsembe="Lundi")+1)+$A7*7-4</f>
        <v>43467</v>
      </c>
      <c r="F7" s="36">
        <f t="shared" ref="F7:F12" si="6">DATE(Anobe,MONTH($C$4),1)-WEEKDAY(DATE(Anobe,MONTH($C$4),1),(Débutsembe="Lundi")+1)+$A7*7-3</f>
        <v>43468</v>
      </c>
      <c r="G7" s="36">
        <f t="shared" ref="G7:G12" si="7">DATE(Anobe,MONTH($C$4),1)-WEEKDAY(DATE(Anobe,MONTH($C$4),1),(Débutsembe="Lundi")+1)+$A7*7-2</f>
        <v>43469</v>
      </c>
      <c r="H7" s="37">
        <f t="shared" ref="H7:H12" si="8">DATE(Anobe,MONTH($C$4),1)-WEEKDAY(DATE(Anobe,MONTH($C$4),1),(Débutsembe="Lundi")+1)+$A7*7-1</f>
        <v>43470</v>
      </c>
      <c r="I7" s="38">
        <f t="shared" ref="I7:I12" si="9">DATE(Anobe,MONTH($C$4),1)-WEEKDAY(DATE(Anobe,MONTH($C$4),1),(Débutsembe="Lundi")+1)+$A7*7</f>
        <v>43471</v>
      </c>
      <c r="J7" s="15"/>
      <c r="K7" s="35">
        <f t="shared" ref="K7:K12" si="10">DATE(Anobe,MONTH($K$4),1)-WEEKDAY(DATE(Anobe,MONTH($K$4),1),(Débutsembe="Lundi")+1)+$A7*7-6</f>
        <v>43493</v>
      </c>
      <c r="L7" s="36">
        <f t="shared" ref="L7:L12" si="11">DATE(Anobe,MONTH($K$4),1)-WEEKDAY(DATE(Anobe,MONTH($K$4),1),(Débutsembe="Lundi")+1)+$A7*7-5</f>
        <v>43494</v>
      </c>
      <c r="M7" s="36">
        <f t="shared" ref="M7:M12" si="12">DATE(Anobe,MONTH($K$4),1)-WEEKDAY(DATE(Anobe,MONTH($K$4),1),(Débutsembe="Lundi")+1)+$A7*7-4</f>
        <v>43495</v>
      </c>
      <c r="N7" s="36">
        <f t="shared" ref="N7:N12" si="13">DATE(Anobe,MONTH($K$4),1)-WEEKDAY(DATE(Anobe,MONTH($K$4),1),(Débutsembe="Lundi")+1)+$A7*7-3</f>
        <v>43496</v>
      </c>
      <c r="O7" s="36">
        <f t="shared" ref="O7:O12" si="14">DATE(Anobe,MONTH($K$4),1)-WEEKDAY(DATE(Anobe,MONTH($K$4),1),(Débutsembe="Lundi")+1)+$A7*7-2</f>
        <v>43497</v>
      </c>
      <c r="P7" s="37">
        <f t="shared" ref="P7:P12" si="15">DATE(Anobe,MONTH($K$4),1)-WEEKDAY(DATE(Anobe,MONTH($K$4),1),(Débutsembe="Lundi")+1)+$A7*7-1</f>
        <v>43498</v>
      </c>
      <c r="Q7" s="38">
        <f t="shared" ref="Q7:Q12" si="16">DATE(Anobe,MONTH($K$4),1)-WEEKDAY(DATE(Anobe,MONTH($K$4),1),(Débutsembe="Lundi")+1)+$A7*7</f>
        <v>43499</v>
      </c>
      <c r="R7" s="15"/>
      <c r="S7" s="35">
        <f t="shared" ref="S7:S12" si="17">DATE(Anobe,MONTH($S$4),1)-WEEKDAY(DATE(Anobe,MONTH($S$4),1),(Débutsembe="Lundi")+1)+$A7*7-6</f>
        <v>43521</v>
      </c>
      <c r="T7" s="36">
        <f t="shared" ref="T7:T12" si="18">DATE(Anobe,MONTH($S$4),1)-WEEKDAY(DATE(Anobe,MONTH($S$4),1),(Débutsembe="Lundi")+1)+$A7*7-5</f>
        <v>43522</v>
      </c>
      <c r="U7" s="36">
        <f t="shared" ref="U7:U12" si="19">DATE(Anobe,MONTH($S$4),1)-WEEKDAY(DATE(Anobe,MONTH($S$4),1),(Débutsembe="Lundi")+1)+$A7*7-4</f>
        <v>43523</v>
      </c>
      <c r="V7" s="36">
        <f t="shared" ref="V7:V12" si="20">DATE(Anobe,MONTH($S$4),1)-WEEKDAY(DATE(Anobe,MONTH($S$4),1),(Débutsembe="Lundi")+1)+$A7*7-3</f>
        <v>43524</v>
      </c>
      <c r="W7" s="36">
        <f t="shared" ref="W7:W12" si="21">DATE(Anobe,MONTH($S$4),1)-WEEKDAY(DATE(Anobe,MONTH($S$4),1),(Débutsembe="Lundi")+1)+$A7*7-2</f>
        <v>43525</v>
      </c>
      <c r="X7" s="37">
        <f t="shared" ref="X7:X12" si="22">DATE(Anobe,MONTH($S$4),1)-WEEKDAY(DATE(Anobe,MONTH($S$4),1),(Débutsembe="Lundi")+1)+$A7*7-1</f>
        <v>43526</v>
      </c>
      <c r="Y7" s="38">
        <f t="shared" ref="Y7:Y12" si="23">DATE(Anobe,MONTH($S$4),1)-WEEKDAY(DATE(Anobe,MONTH($S$4),1),(Débutsembe="Lundi")+1)+$A7*7</f>
        <v>43527</v>
      </c>
      <c r="Z7" s="14"/>
      <c r="AA7" s="214"/>
    </row>
    <row r="8" spans="1:29" ht="20.6" customHeight="1" x14ac:dyDescent="0.3">
      <c r="A8" s="15">
        <v>2</v>
      </c>
      <c r="B8" s="8"/>
      <c r="C8" s="39">
        <f t="shared" si="3"/>
        <v>43472</v>
      </c>
      <c r="D8" s="40">
        <f t="shared" si="4"/>
        <v>43473</v>
      </c>
      <c r="E8" s="40">
        <f t="shared" si="5"/>
        <v>43474</v>
      </c>
      <c r="F8" s="40">
        <f t="shared" si="6"/>
        <v>43475</v>
      </c>
      <c r="G8" s="40">
        <f t="shared" si="7"/>
        <v>43476</v>
      </c>
      <c r="H8" s="41">
        <f t="shared" si="8"/>
        <v>43477</v>
      </c>
      <c r="I8" s="42">
        <f t="shared" si="9"/>
        <v>43478</v>
      </c>
      <c r="J8" s="15"/>
      <c r="K8" s="39">
        <f t="shared" si="10"/>
        <v>43500</v>
      </c>
      <c r="L8" s="40">
        <f t="shared" si="11"/>
        <v>43501</v>
      </c>
      <c r="M8" s="40">
        <f t="shared" si="12"/>
        <v>43502</v>
      </c>
      <c r="N8" s="40">
        <f t="shared" si="13"/>
        <v>43503</v>
      </c>
      <c r="O8" s="40">
        <f t="shared" si="14"/>
        <v>43504</v>
      </c>
      <c r="P8" s="41">
        <f t="shared" si="15"/>
        <v>43505</v>
      </c>
      <c r="Q8" s="42">
        <f t="shared" si="16"/>
        <v>43506</v>
      </c>
      <c r="R8" s="15"/>
      <c r="S8" s="39">
        <f t="shared" si="17"/>
        <v>43528</v>
      </c>
      <c r="T8" s="40">
        <f t="shared" si="18"/>
        <v>43529</v>
      </c>
      <c r="U8" s="40">
        <f t="shared" si="19"/>
        <v>43530</v>
      </c>
      <c r="V8" s="40">
        <f t="shared" si="20"/>
        <v>43531</v>
      </c>
      <c r="W8" s="40">
        <f t="shared" si="21"/>
        <v>43532</v>
      </c>
      <c r="X8" s="41">
        <f t="shared" si="22"/>
        <v>43533</v>
      </c>
      <c r="Y8" s="42">
        <f t="shared" si="23"/>
        <v>43534</v>
      </c>
      <c r="Z8" s="14"/>
      <c r="AA8" s="214"/>
    </row>
    <row r="9" spans="1:29" ht="20.6" customHeight="1" x14ac:dyDescent="0.3">
      <c r="A9" s="15">
        <v>3</v>
      </c>
      <c r="B9" s="8"/>
      <c r="C9" s="39">
        <f t="shared" si="3"/>
        <v>43479</v>
      </c>
      <c r="D9" s="40">
        <f t="shared" si="4"/>
        <v>43480</v>
      </c>
      <c r="E9" s="40">
        <f t="shared" si="5"/>
        <v>43481</v>
      </c>
      <c r="F9" s="40">
        <f t="shared" si="6"/>
        <v>43482</v>
      </c>
      <c r="G9" s="40">
        <f t="shared" si="7"/>
        <v>43483</v>
      </c>
      <c r="H9" s="41">
        <f t="shared" si="8"/>
        <v>43484</v>
      </c>
      <c r="I9" s="42">
        <f t="shared" si="9"/>
        <v>43485</v>
      </c>
      <c r="J9" s="15"/>
      <c r="K9" s="39">
        <f t="shared" si="10"/>
        <v>43507</v>
      </c>
      <c r="L9" s="40">
        <f t="shared" si="11"/>
        <v>43508</v>
      </c>
      <c r="M9" s="40">
        <f t="shared" si="12"/>
        <v>43509</v>
      </c>
      <c r="N9" s="40">
        <f t="shared" si="13"/>
        <v>43510</v>
      </c>
      <c r="O9" s="40">
        <f t="shared" si="14"/>
        <v>43511</v>
      </c>
      <c r="P9" s="41">
        <f t="shared" si="15"/>
        <v>43512</v>
      </c>
      <c r="Q9" s="42">
        <f t="shared" si="16"/>
        <v>43513</v>
      </c>
      <c r="R9" s="15"/>
      <c r="S9" s="39">
        <f t="shared" si="17"/>
        <v>43535</v>
      </c>
      <c r="T9" s="40">
        <f t="shared" si="18"/>
        <v>43536</v>
      </c>
      <c r="U9" s="40">
        <f t="shared" si="19"/>
        <v>43537</v>
      </c>
      <c r="V9" s="40">
        <f t="shared" si="20"/>
        <v>43538</v>
      </c>
      <c r="W9" s="40">
        <f t="shared" si="21"/>
        <v>43539</v>
      </c>
      <c r="X9" s="41">
        <f t="shared" si="22"/>
        <v>43540</v>
      </c>
      <c r="Y9" s="42">
        <f t="shared" si="23"/>
        <v>43541</v>
      </c>
      <c r="Z9" s="43"/>
      <c r="AA9" s="214"/>
      <c r="AC9" s="73"/>
    </row>
    <row r="10" spans="1:29" ht="20.6" customHeight="1" x14ac:dyDescent="0.3">
      <c r="A10" s="15">
        <v>4</v>
      </c>
      <c r="B10" s="8"/>
      <c r="C10" s="39">
        <f t="shared" si="3"/>
        <v>43486</v>
      </c>
      <c r="D10" s="40">
        <f t="shared" si="4"/>
        <v>43487</v>
      </c>
      <c r="E10" s="40">
        <f t="shared" si="5"/>
        <v>43488</v>
      </c>
      <c r="F10" s="40">
        <f t="shared" si="6"/>
        <v>43489</v>
      </c>
      <c r="G10" s="40">
        <f t="shared" si="7"/>
        <v>43490</v>
      </c>
      <c r="H10" s="41">
        <f t="shared" si="8"/>
        <v>43491</v>
      </c>
      <c r="I10" s="42">
        <f t="shared" si="9"/>
        <v>43492</v>
      </c>
      <c r="J10" s="15"/>
      <c r="K10" s="39">
        <f t="shared" si="10"/>
        <v>43514</v>
      </c>
      <c r="L10" s="40">
        <f t="shared" si="11"/>
        <v>43515</v>
      </c>
      <c r="M10" s="40">
        <f t="shared" si="12"/>
        <v>43516</v>
      </c>
      <c r="N10" s="40">
        <f t="shared" si="13"/>
        <v>43517</v>
      </c>
      <c r="O10" s="40">
        <f t="shared" si="14"/>
        <v>43518</v>
      </c>
      <c r="P10" s="41">
        <f t="shared" si="15"/>
        <v>43519</v>
      </c>
      <c r="Q10" s="42">
        <f t="shared" si="16"/>
        <v>43520</v>
      </c>
      <c r="R10" s="15"/>
      <c r="S10" s="39">
        <f t="shared" si="17"/>
        <v>43542</v>
      </c>
      <c r="T10" s="40">
        <f t="shared" si="18"/>
        <v>43543</v>
      </c>
      <c r="U10" s="40">
        <f t="shared" si="19"/>
        <v>43544</v>
      </c>
      <c r="V10" s="40">
        <f t="shared" si="20"/>
        <v>43545</v>
      </c>
      <c r="W10" s="40">
        <f t="shared" si="21"/>
        <v>43546</v>
      </c>
      <c r="X10" s="41">
        <f t="shared" si="22"/>
        <v>43547</v>
      </c>
      <c r="Y10" s="42">
        <f t="shared" si="23"/>
        <v>43548</v>
      </c>
      <c r="Z10" s="43"/>
      <c r="AA10" s="214"/>
    </row>
    <row r="11" spans="1:29" ht="20.6" customHeight="1" x14ac:dyDescent="0.3">
      <c r="A11" s="15">
        <v>5</v>
      </c>
      <c r="B11" s="8"/>
      <c r="C11" s="39">
        <f t="shared" si="3"/>
        <v>43493</v>
      </c>
      <c r="D11" s="40">
        <f t="shared" si="4"/>
        <v>43494</v>
      </c>
      <c r="E11" s="40">
        <f t="shared" si="5"/>
        <v>43495</v>
      </c>
      <c r="F11" s="40">
        <f t="shared" si="6"/>
        <v>43496</v>
      </c>
      <c r="G11" s="40">
        <f t="shared" si="7"/>
        <v>43497</v>
      </c>
      <c r="H11" s="41">
        <f t="shared" si="8"/>
        <v>43498</v>
      </c>
      <c r="I11" s="42">
        <f t="shared" si="9"/>
        <v>43499</v>
      </c>
      <c r="J11" s="15"/>
      <c r="K11" s="39">
        <f t="shared" si="10"/>
        <v>43521</v>
      </c>
      <c r="L11" s="40">
        <f t="shared" si="11"/>
        <v>43522</v>
      </c>
      <c r="M11" s="40">
        <f t="shared" si="12"/>
        <v>43523</v>
      </c>
      <c r="N11" s="40">
        <f t="shared" si="13"/>
        <v>43524</v>
      </c>
      <c r="O11" s="40">
        <f t="shared" si="14"/>
        <v>43525</v>
      </c>
      <c r="P11" s="41">
        <f t="shared" si="15"/>
        <v>43526</v>
      </c>
      <c r="Q11" s="42">
        <f t="shared" si="16"/>
        <v>43527</v>
      </c>
      <c r="R11" s="15"/>
      <c r="S11" s="39">
        <f t="shared" si="17"/>
        <v>43549</v>
      </c>
      <c r="T11" s="40">
        <f t="shared" si="18"/>
        <v>43550</v>
      </c>
      <c r="U11" s="40">
        <f t="shared" si="19"/>
        <v>43551</v>
      </c>
      <c r="V11" s="40">
        <f t="shared" si="20"/>
        <v>43552</v>
      </c>
      <c r="W11" s="40">
        <f t="shared" si="21"/>
        <v>43553</v>
      </c>
      <c r="X11" s="41">
        <f t="shared" si="22"/>
        <v>43554</v>
      </c>
      <c r="Y11" s="42">
        <f t="shared" si="23"/>
        <v>43555</v>
      </c>
      <c r="Z11" s="43"/>
      <c r="AA11" s="214"/>
    </row>
    <row r="12" spans="1:29" ht="20.6" customHeight="1" thickBot="1" x14ac:dyDescent="0.35">
      <c r="A12" s="15">
        <v>6</v>
      </c>
      <c r="B12" s="8"/>
      <c r="C12" s="45">
        <f t="shared" si="3"/>
        <v>43500</v>
      </c>
      <c r="D12" s="46">
        <f t="shared" si="4"/>
        <v>43501</v>
      </c>
      <c r="E12" s="46">
        <f t="shared" si="5"/>
        <v>43502</v>
      </c>
      <c r="F12" s="46">
        <f t="shared" si="6"/>
        <v>43503</v>
      </c>
      <c r="G12" s="46">
        <f t="shared" si="7"/>
        <v>43504</v>
      </c>
      <c r="H12" s="47">
        <f t="shared" si="8"/>
        <v>43505</v>
      </c>
      <c r="I12" s="48">
        <f t="shared" si="9"/>
        <v>43506</v>
      </c>
      <c r="J12" s="15"/>
      <c r="K12" s="45">
        <f t="shared" si="10"/>
        <v>43528</v>
      </c>
      <c r="L12" s="46">
        <f t="shared" si="11"/>
        <v>43529</v>
      </c>
      <c r="M12" s="46">
        <f t="shared" si="12"/>
        <v>43530</v>
      </c>
      <c r="N12" s="46">
        <f t="shared" si="13"/>
        <v>43531</v>
      </c>
      <c r="O12" s="46">
        <f t="shared" si="14"/>
        <v>43532</v>
      </c>
      <c r="P12" s="47">
        <f t="shared" si="15"/>
        <v>43533</v>
      </c>
      <c r="Q12" s="48">
        <f t="shared" si="16"/>
        <v>43534</v>
      </c>
      <c r="R12" s="15"/>
      <c r="S12" s="45">
        <f t="shared" si="17"/>
        <v>43556</v>
      </c>
      <c r="T12" s="46">
        <f t="shared" si="18"/>
        <v>43557</v>
      </c>
      <c r="U12" s="46">
        <f t="shared" si="19"/>
        <v>43558</v>
      </c>
      <c r="V12" s="46">
        <f t="shared" si="20"/>
        <v>43559</v>
      </c>
      <c r="W12" s="46">
        <f t="shared" si="21"/>
        <v>43560</v>
      </c>
      <c r="X12" s="47">
        <f t="shared" si="22"/>
        <v>43561</v>
      </c>
      <c r="Y12" s="48">
        <f t="shared" si="23"/>
        <v>43562</v>
      </c>
      <c r="Z12" s="43"/>
      <c r="AA12" s="214"/>
    </row>
    <row r="13" spans="1:29" ht="13.35" customHeight="1" thickBot="1" x14ac:dyDescent="0.35">
      <c r="A13" s="15"/>
      <c r="B13" s="8"/>
      <c r="C13" s="226">
        <f>DATE(Anobe,4,1)</f>
        <v>43556</v>
      </c>
      <c r="D13" s="226"/>
      <c r="E13" s="226"/>
      <c r="F13" s="226"/>
      <c r="G13" s="226"/>
      <c r="H13" s="226"/>
      <c r="I13" s="226"/>
      <c r="J13" s="15"/>
      <c r="K13" s="226">
        <f>DATE(Anobe,5,1)</f>
        <v>43586</v>
      </c>
      <c r="L13" s="226"/>
      <c r="M13" s="226"/>
      <c r="N13" s="226"/>
      <c r="O13" s="226"/>
      <c r="P13" s="226"/>
      <c r="Q13" s="226"/>
      <c r="R13" s="15"/>
      <c r="S13" s="226">
        <f>DATE(Anobe,6,1)</f>
        <v>43617</v>
      </c>
      <c r="T13" s="226"/>
      <c r="U13" s="226"/>
      <c r="V13" s="226"/>
      <c r="W13" s="226"/>
      <c r="X13" s="226"/>
      <c r="Y13" s="226"/>
      <c r="Z13" s="49"/>
      <c r="AA13" s="214"/>
    </row>
    <row r="14" spans="1:29" s="20" customFormat="1" ht="20.6" customHeight="1" thickBot="1" x14ac:dyDescent="0.35">
      <c r="A14" s="10"/>
      <c r="B14" s="17"/>
      <c r="C14" s="216" t="str">
        <f>CHOOSE(MONTH(C4),"AVRIL")</f>
        <v>AVRIL</v>
      </c>
      <c r="D14" s="217"/>
      <c r="E14" s="217"/>
      <c r="F14" s="217"/>
      <c r="G14" s="217"/>
      <c r="H14" s="217"/>
      <c r="I14" s="218"/>
      <c r="J14" s="10"/>
      <c r="K14" s="216" t="str">
        <f>CHOOSE(MONTH(C4),"MAI")</f>
        <v>MAI</v>
      </c>
      <c r="L14" s="217"/>
      <c r="M14" s="217"/>
      <c r="N14" s="217"/>
      <c r="O14" s="217"/>
      <c r="P14" s="217"/>
      <c r="Q14" s="218"/>
      <c r="R14" s="10"/>
      <c r="S14" s="216" t="str">
        <f>CHOOSE(MONTH(C4),"JUIN")</f>
        <v>JUIN</v>
      </c>
      <c r="T14" s="217"/>
      <c r="U14" s="217"/>
      <c r="V14" s="217"/>
      <c r="W14" s="217"/>
      <c r="X14" s="217"/>
      <c r="Y14" s="218"/>
      <c r="Z14" s="50"/>
      <c r="AA14" s="214"/>
    </row>
    <row r="15" spans="1:29" s="20" customFormat="1" ht="16.350000000000001" customHeight="1" thickBot="1" x14ac:dyDescent="0.35">
      <c r="A15" s="10"/>
      <c r="B15" s="51"/>
      <c r="C15" s="74" t="str">
        <f t="shared" ref="C15:I15" si="24">CHOOSE(COLUMN(A$1)+(Débutsembe="Lundi"),"Di","Lu","Ma","Me","Je","Ve","Sa","Di")</f>
        <v>Lu</v>
      </c>
      <c r="D15" s="74" t="str">
        <f t="shared" si="24"/>
        <v>Ma</v>
      </c>
      <c r="E15" s="74" t="str">
        <f t="shared" si="24"/>
        <v>Me</v>
      </c>
      <c r="F15" s="74" t="str">
        <f t="shared" si="24"/>
        <v>Je</v>
      </c>
      <c r="G15" s="74" t="str">
        <f t="shared" si="24"/>
        <v>Ve</v>
      </c>
      <c r="H15" s="80" t="str">
        <f t="shared" si="24"/>
        <v>Sa</v>
      </c>
      <c r="I15" s="80" t="str">
        <f t="shared" si="24"/>
        <v>Di</v>
      </c>
      <c r="J15" s="27"/>
      <c r="K15" s="74" t="str">
        <f t="shared" ref="K15:Q15" si="25">CHOOSE(COLUMN(A$1)+(Débutsembe="Lundi"),"Di","Lu","Ma","Me","Je","Ve","Sa","Di")</f>
        <v>Lu</v>
      </c>
      <c r="L15" s="74" t="str">
        <f t="shared" si="25"/>
        <v>Ma</v>
      </c>
      <c r="M15" s="74" t="str">
        <f t="shared" si="25"/>
        <v>Me</v>
      </c>
      <c r="N15" s="74" t="str">
        <f t="shared" si="25"/>
        <v>Je</v>
      </c>
      <c r="O15" s="74" t="str">
        <f t="shared" si="25"/>
        <v>Ve</v>
      </c>
      <c r="P15" s="80" t="str">
        <f t="shared" si="25"/>
        <v>Sa</v>
      </c>
      <c r="Q15" s="80" t="str">
        <f t="shared" si="25"/>
        <v>Di</v>
      </c>
      <c r="R15" s="27"/>
      <c r="S15" s="74" t="str">
        <f t="shared" ref="S15:Y15" si="26">CHOOSE(COLUMN(A$1)+(Débutsembe="Lundi"),"Di","Lu","Ma","Me","Je","Ve","Sa","Di")</f>
        <v>Lu</v>
      </c>
      <c r="T15" s="74" t="str">
        <f t="shared" si="26"/>
        <v>Ma</v>
      </c>
      <c r="U15" s="74" t="str">
        <f t="shared" si="26"/>
        <v>Me</v>
      </c>
      <c r="V15" s="74" t="str">
        <f t="shared" si="26"/>
        <v>Je</v>
      </c>
      <c r="W15" s="74" t="str">
        <f t="shared" si="26"/>
        <v>Ve</v>
      </c>
      <c r="X15" s="80" t="str">
        <f t="shared" si="26"/>
        <v>Sa</v>
      </c>
      <c r="Y15" s="80" t="str">
        <f t="shared" si="26"/>
        <v>Di</v>
      </c>
      <c r="Z15" s="52"/>
      <c r="AA15" s="214"/>
    </row>
    <row r="16" spans="1:29" ht="20.6" customHeight="1" x14ac:dyDescent="0.3">
      <c r="A16" s="15"/>
      <c r="B16" s="8"/>
      <c r="C16" s="35">
        <f t="shared" ref="C16:C21" si="27">DATE(Anobe,MONTH($C$13),1)-WEEKDAY(DATE(Anobe,MONTH($C$13),1),(Débutsembe="Lundi")+1)+$A7*7-6</f>
        <v>43556</v>
      </c>
      <c r="D16" s="36">
        <f t="shared" ref="D16:D21" si="28">DATE(Anobe,MONTH($C$13),1)-WEEKDAY(DATE(Anobe,MONTH($C$13),1),(Débutsembe="Lundi")+1)+$A7*7-5</f>
        <v>43557</v>
      </c>
      <c r="E16" s="36">
        <f t="shared" ref="E16:E21" si="29">DATE(Anobe,MONTH($C$13),1)-WEEKDAY(DATE(Anobe,MONTH($C$13),1),(Débutsembe="Lundi")+1)+$A7*7-4</f>
        <v>43558</v>
      </c>
      <c r="F16" s="36">
        <f t="shared" ref="F16:F21" si="30">DATE(Anobe,MONTH($C$13),1)-WEEKDAY(DATE(Anobe,MONTH($C$13),1),(Débutsembe="Lundi")+1)+$A7*7-3</f>
        <v>43559</v>
      </c>
      <c r="G16" s="36">
        <f t="shared" ref="G16:G21" si="31">DATE(Anobe,MONTH($C$13),1)-WEEKDAY(DATE(Anobe,MONTH($C$13),1),(Débutsembe="Lundi")+1)+$A7*7-2</f>
        <v>43560</v>
      </c>
      <c r="H16" s="37">
        <f t="shared" ref="H16:H21" si="32">DATE(Anobe,MONTH($C$13),1)-WEEKDAY(DATE(Anobe,MONTH($C$13),1),(Débutsembe="Lundi")+1)+$A7*7-1</f>
        <v>43561</v>
      </c>
      <c r="I16" s="38">
        <f t="shared" ref="I16:I21" si="33">DATE(Anobe,MONTH($C$13),1)-WEEKDAY(DATE(Anobe,MONTH($C$13),1),(Débutsembe="Lundi")+1)+$A7*7</f>
        <v>43562</v>
      </c>
      <c r="J16" s="15"/>
      <c r="K16" s="75">
        <f t="shared" ref="K16:K21" si="34">DATE(Anobe,MONTH($K$13),1)-WEEKDAY(DATE(Anobe,MONTH($K$13),1),(Débutsembe="Lundi")+1)+$A7*7-6</f>
        <v>43584</v>
      </c>
      <c r="L16" s="36">
        <f t="shared" ref="L16:L21" si="35">DATE(Anobe,MONTH($K$13),1)-WEEKDAY(DATE(Anobe,MONTH($K$13),1),(Débutsembe="Lundi")+1)+$A7*7-5</f>
        <v>43585</v>
      </c>
      <c r="M16" s="36">
        <f t="shared" ref="M16:M21" si="36">DATE(Anobe,MONTH($K$13),1)-WEEKDAY(DATE(Anobe,MONTH($K$13),1),(Débutsembe="Lundi")+1)+$A7*7-4</f>
        <v>43586</v>
      </c>
      <c r="N16" s="36">
        <f t="shared" ref="N16:N21" si="37">DATE(Anobe,MONTH($K$13),1)-WEEKDAY(DATE(Anobe,MONTH($K$13),1),(Débutsembe="Lundi")+1)+$A7*7-3</f>
        <v>43587</v>
      </c>
      <c r="O16" s="36">
        <f t="shared" ref="O16:O21" si="38">DATE(Anobe,MONTH($K$13),1)-WEEKDAY(DATE(Anobe,MONTH($K$13),1),(Débutsembe="Lundi")+1)+$A7*7-2</f>
        <v>43588</v>
      </c>
      <c r="P16" s="37">
        <f t="shared" ref="P16:P21" si="39">DATE(Anobe,MONTH($K$13),1)-WEEKDAY(DATE(Anobe,MONTH($K$13),1),(Débutsembe="Lundi")+1)+$A7*7-1</f>
        <v>43589</v>
      </c>
      <c r="Q16" s="38">
        <f t="shared" ref="Q16:Q21" si="40">DATE(Anobe,MONTH($K$13),1)-WEEKDAY(DATE(Anobe,MONTH($K$13),1),(Débutsembe="Lundi")+1)+$A7*7</f>
        <v>43590</v>
      </c>
      <c r="R16" s="15"/>
      <c r="S16" s="35">
        <f t="shared" ref="S16:S21" si="41">DATE(Anobe,MONTH($S$13),1)-WEEKDAY(DATE(Anobe,MONTH($S$13),1),(Débutsembe="Lundi")+1)+$A7*7-6</f>
        <v>43612</v>
      </c>
      <c r="T16" s="36">
        <f t="shared" ref="T16:T21" si="42">DATE(Anobe,MONTH($S$13),1)-WEEKDAY(DATE(Anobe,MONTH($S$13),1),(Débutsembe="Lundi")+1)+$A7*7-5</f>
        <v>43613</v>
      </c>
      <c r="U16" s="36">
        <f t="shared" ref="U16:U21" si="43">DATE(Anobe,MONTH($S$13),1)-WEEKDAY(DATE(Anobe,MONTH($S$13),1),(Débutsembe="Lundi")+1)+$A7*7-4</f>
        <v>43614</v>
      </c>
      <c r="V16" s="36">
        <f t="shared" ref="V16:V21" si="44">DATE(Anobe,MONTH($S$13),1)-WEEKDAY(DATE(Anobe,MONTH($S$13),1),(Débutsembe="Lundi")+1)+$A7*7-3</f>
        <v>43615</v>
      </c>
      <c r="W16" s="36">
        <f t="shared" ref="W16:W21" si="45">DATE(Anobe,MONTH($S$13),1)-WEEKDAY(DATE(Anobe,MONTH($S$13),1),(Débutsembe="Lundi")+1)+$A7*7-2</f>
        <v>43616</v>
      </c>
      <c r="X16" s="37">
        <f t="shared" ref="X16:X21" si="46">DATE(Anobe,MONTH($S$13),1)-WEEKDAY(DATE(Anobe,MONTH($S$13),1),(Débutsembe="Lundi")+1)+$A7*7-1</f>
        <v>43617</v>
      </c>
      <c r="Y16" s="38">
        <f t="shared" ref="Y16:Y21" si="47">DATE(Anobe,MONTH($S$13),1)-WEEKDAY(DATE(Anobe,MONTH($S$13),1),(Débutsembe="Lundi")+1)+$A7*7</f>
        <v>43618</v>
      </c>
      <c r="Z16" s="14"/>
      <c r="AA16" s="214"/>
    </row>
    <row r="17" spans="1:27" ht="20.6" customHeight="1" x14ac:dyDescent="0.3">
      <c r="A17" s="15"/>
      <c r="B17" s="8"/>
      <c r="C17" s="39">
        <f t="shared" si="27"/>
        <v>43563</v>
      </c>
      <c r="D17" s="40">
        <f t="shared" si="28"/>
        <v>43564</v>
      </c>
      <c r="E17" s="40">
        <f t="shared" si="29"/>
        <v>43565</v>
      </c>
      <c r="F17" s="40">
        <f t="shared" si="30"/>
        <v>43566</v>
      </c>
      <c r="G17" s="40">
        <f t="shared" si="31"/>
        <v>43567</v>
      </c>
      <c r="H17" s="41">
        <f t="shared" si="32"/>
        <v>43568</v>
      </c>
      <c r="I17" s="42">
        <f t="shared" si="33"/>
        <v>43569</v>
      </c>
      <c r="J17" s="15"/>
      <c r="K17" s="77">
        <f t="shared" si="34"/>
        <v>43591</v>
      </c>
      <c r="L17" s="81">
        <f t="shared" si="35"/>
        <v>43592</v>
      </c>
      <c r="M17" s="81">
        <f t="shared" si="36"/>
        <v>43593</v>
      </c>
      <c r="N17" s="81">
        <f t="shared" si="37"/>
        <v>43594</v>
      </c>
      <c r="O17" s="81">
        <f t="shared" si="38"/>
        <v>43595</v>
      </c>
      <c r="P17" s="120">
        <f t="shared" si="39"/>
        <v>43596</v>
      </c>
      <c r="Q17" s="121">
        <f t="shared" si="40"/>
        <v>43597</v>
      </c>
      <c r="R17" s="15"/>
      <c r="S17" s="39">
        <f t="shared" si="41"/>
        <v>43619</v>
      </c>
      <c r="T17" s="40">
        <f t="shared" si="42"/>
        <v>43620</v>
      </c>
      <c r="U17" s="40">
        <f t="shared" si="43"/>
        <v>43621</v>
      </c>
      <c r="V17" s="40">
        <f t="shared" si="44"/>
        <v>43622</v>
      </c>
      <c r="W17" s="40">
        <f t="shared" si="45"/>
        <v>43623</v>
      </c>
      <c r="X17" s="41">
        <f t="shared" si="46"/>
        <v>43624</v>
      </c>
      <c r="Y17" s="42">
        <f t="shared" si="47"/>
        <v>43625</v>
      </c>
      <c r="Z17" s="14"/>
      <c r="AA17" s="214"/>
    </row>
    <row r="18" spans="1:27" ht="20.6" customHeight="1" x14ac:dyDescent="0.3">
      <c r="A18" s="15"/>
      <c r="B18" s="8"/>
      <c r="C18" s="39">
        <f t="shared" si="27"/>
        <v>43570</v>
      </c>
      <c r="D18" s="40">
        <f t="shared" si="28"/>
        <v>43571</v>
      </c>
      <c r="E18" s="40">
        <f t="shared" si="29"/>
        <v>43572</v>
      </c>
      <c r="F18" s="40">
        <f t="shared" si="30"/>
        <v>43573</v>
      </c>
      <c r="G18" s="40">
        <f t="shared" si="31"/>
        <v>43574</v>
      </c>
      <c r="H18" s="41">
        <f t="shared" si="32"/>
        <v>43575</v>
      </c>
      <c r="I18" s="42">
        <f t="shared" si="33"/>
        <v>43576</v>
      </c>
      <c r="J18" s="15"/>
      <c r="K18" s="39">
        <f t="shared" si="34"/>
        <v>43598</v>
      </c>
      <c r="L18" s="40">
        <f t="shared" si="35"/>
        <v>43599</v>
      </c>
      <c r="M18" s="40">
        <f t="shared" si="36"/>
        <v>43600</v>
      </c>
      <c r="N18" s="40">
        <f t="shared" si="37"/>
        <v>43601</v>
      </c>
      <c r="O18" s="40">
        <f t="shared" si="38"/>
        <v>43602</v>
      </c>
      <c r="P18" s="41">
        <f t="shared" si="39"/>
        <v>43603</v>
      </c>
      <c r="Q18" s="42">
        <f t="shared" si="40"/>
        <v>43604</v>
      </c>
      <c r="R18" s="15"/>
      <c r="S18" s="39">
        <f t="shared" si="41"/>
        <v>43626</v>
      </c>
      <c r="T18" s="40">
        <f t="shared" si="42"/>
        <v>43627</v>
      </c>
      <c r="U18" s="40">
        <f t="shared" si="43"/>
        <v>43628</v>
      </c>
      <c r="V18" s="40">
        <f t="shared" si="44"/>
        <v>43629</v>
      </c>
      <c r="W18" s="40">
        <f t="shared" si="45"/>
        <v>43630</v>
      </c>
      <c r="X18" s="41">
        <f t="shared" si="46"/>
        <v>43631</v>
      </c>
      <c r="Y18" s="42">
        <f t="shared" si="47"/>
        <v>43632</v>
      </c>
      <c r="Z18" s="14"/>
      <c r="AA18" s="214"/>
    </row>
    <row r="19" spans="1:27" ht="20.6" customHeight="1" x14ac:dyDescent="0.3">
      <c r="A19" s="15"/>
      <c r="B19" s="8"/>
      <c r="C19" s="39">
        <f t="shared" si="27"/>
        <v>43577</v>
      </c>
      <c r="D19" s="40">
        <f t="shared" si="28"/>
        <v>43578</v>
      </c>
      <c r="E19" s="40">
        <f t="shared" si="29"/>
        <v>43579</v>
      </c>
      <c r="F19" s="40">
        <f t="shared" si="30"/>
        <v>43580</v>
      </c>
      <c r="G19" s="40">
        <f t="shared" si="31"/>
        <v>43581</v>
      </c>
      <c r="H19" s="41">
        <f t="shared" si="32"/>
        <v>43582</v>
      </c>
      <c r="I19" s="42">
        <f t="shared" si="33"/>
        <v>43583</v>
      </c>
      <c r="J19" s="15"/>
      <c r="K19" s="39">
        <f t="shared" si="34"/>
        <v>43605</v>
      </c>
      <c r="L19" s="40">
        <f t="shared" si="35"/>
        <v>43606</v>
      </c>
      <c r="M19" s="40">
        <f t="shared" si="36"/>
        <v>43607</v>
      </c>
      <c r="N19" s="40">
        <f t="shared" si="37"/>
        <v>43608</v>
      </c>
      <c r="O19" s="40">
        <f t="shared" si="38"/>
        <v>43609</v>
      </c>
      <c r="P19" s="41">
        <f t="shared" si="39"/>
        <v>43610</v>
      </c>
      <c r="Q19" s="42">
        <f t="shared" si="40"/>
        <v>43611</v>
      </c>
      <c r="R19" s="15"/>
      <c r="S19" s="39">
        <f t="shared" si="41"/>
        <v>43633</v>
      </c>
      <c r="T19" s="40">
        <f t="shared" si="42"/>
        <v>43634</v>
      </c>
      <c r="U19" s="40">
        <f t="shared" si="43"/>
        <v>43635</v>
      </c>
      <c r="V19" s="40">
        <f t="shared" si="44"/>
        <v>43636</v>
      </c>
      <c r="W19" s="40">
        <f t="shared" si="45"/>
        <v>43637</v>
      </c>
      <c r="X19" s="41">
        <f t="shared" si="46"/>
        <v>43638</v>
      </c>
      <c r="Y19" s="42">
        <f t="shared" si="47"/>
        <v>43639</v>
      </c>
      <c r="Z19" s="14"/>
      <c r="AA19" s="214"/>
    </row>
    <row r="20" spans="1:27" ht="20.6" customHeight="1" x14ac:dyDescent="0.3">
      <c r="A20" s="15"/>
      <c r="B20" s="8"/>
      <c r="C20" s="39">
        <f t="shared" si="27"/>
        <v>43584</v>
      </c>
      <c r="D20" s="40">
        <f t="shared" si="28"/>
        <v>43585</v>
      </c>
      <c r="E20" s="40">
        <f t="shared" si="29"/>
        <v>43586</v>
      </c>
      <c r="F20" s="40">
        <f t="shared" si="30"/>
        <v>43587</v>
      </c>
      <c r="G20" s="40">
        <f t="shared" si="31"/>
        <v>43588</v>
      </c>
      <c r="H20" s="41">
        <f t="shared" si="32"/>
        <v>43589</v>
      </c>
      <c r="I20" s="42">
        <f t="shared" si="33"/>
        <v>43590</v>
      </c>
      <c r="J20" s="15"/>
      <c r="K20" s="39">
        <f t="shared" si="34"/>
        <v>43612</v>
      </c>
      <c r="L20" s="40">
        <f t="shared" si="35"/>
        <v>43613</v>
      </c>
      <c r="M20" s="40">
        <f t="shared" si="36"/>
        <v>43614</v>
      </c>
      <c r="N20" s="40">
        <f t="shared" si="37"/>
        <v>43615</v>
      </c>
      <c r="O20" s="40">
        <f t="shared" si="38"/>
        <v>43616</v>
      </c>
      <c r="P20" s="41">
        <f t="shared" si="39"/>
        <v>43617</v>
      </c>
      <c r="Q20" s="42">
        <f t="shared" si="40"/>
        <v>43618</v>
      </c>
      <c r="R20" s="15"/>
      <c r="S20" s="39">
        <f t="shared" si="41"/>
        <v>43640</v>
      </c>
      <c r="T20" s="40">
        <f t="shared" si="42"/>
        <v>43641</v>
      </c>
      <c r="U20" s="40">
        <f t="shared" si="43"/>
        <v>43642</v>
      </c>
      <c r="V20" s="40">
        <f t="shared" si="44"/>
        <v>43643</v>
      </c>
      <c r="W20" s="40">
        <f t="shared" si="45"/>
        <v>43644</v>
      </c>
      <c r="X20" s="41">
        <f t="shared" si="46"/>
        <v>43645</v>
      </c>
      <c r="Y20" s="42">
        <f t="shared" si="47"/>
        <v>43646</v>
      </c>
      <c r="Z20" s="14"/>
      <c r="AA20" s="214"/>
    </row>
    <row r="21" spans="1:27" ht="20.6" customHeight="1" thickBot="1" x14ac:dyDescent="0.35">
      <c r="A21" s="15"/>
      <c r="B21" s="8"/>
      <c r="C21" s="45">
        <f t="shared" si="27"/>
        <v>43591</v>
      </c>
      <c r="D21" s="46">
        <f t="shared" si="28"/>
        <v>43592</v>
      </c>
      <c r="E21" s="46">
        <f t="shared" si="29"/>
        <v>43593</v>
      </c>
      <c r="F21" s="46">
        <f t="shared" si="30"/>
        <v>43594</v>
      </c>
      <c r="G21" s="46">
        <f t="shared" si="31"/>
        <v>43595</v>
      </c>
      <c r="H21" s="47">
        <f t="shared" si="32"/>
        <v>43596</v>
      </c>
      <c r="I21" s="48">
        <f t="shared" si="33"/>
        <v>43597</v>
      </c>
      <c r="J21" s="15"/>
      <c r="K21" s="45">
        <f t="shared" si="34"/>
        <v>43619</v>
      </c>
      <c r="L21" s="46">
        <f t="shared" si="35"/>
        <v>43620</v>
      </c>
      <c r="M21" s="46">
        <f t="shared" si="36"/>
        <v>43621</v>
      </c>
      <c r="N21" s="46">
        <f t="shared" si="37"/>
        <v>43622</v>
      </c>
      <c r="O21" s="46">
        <f t="shared" si="38"/>
        <v>43623</v>
      </c>
      <c r="P21" s="47">
        <f t="shared" si="39"/>
        <v>43624</v>
      </c>
      <c r="Q21" s="48">
        <f t="shared" si="40"/>
        <v>43625</v>
      </c>
      <c r="R21" s="15"/>
      <c r="S21" s="45">
        <f t="shared" si="41"/>
        <v>43647</v>
      </c>
      <c r="T21" s="46">
        <f t="shared" si="42"/>
        <v>43648</v>
      </c>
      <c r="U21" s="46">
        <f t="shared" si="43"/>
        <v>43649</v>
      </c>
      <c r="V21" s="46">
        <f t="shared" si="44"/>
        <v>43650</v>
      </c>
      <c r="W21" s="46">
        <f t="shared" si="45"/>
        <v>43651</v>
      </c>
      <c r="X21" s="47">
        <f t="shared" si="46"/>
        <v>43652</v>
      </c>
      <c r="Y21" s="48">
        <f t="shared" si="47"/>
        <v>43653</v>
      </c>
      <c r="Z21" s="14"/>
      <c r="AA21" s="214"/>
    </row>
    <row r="22" spans="1:27" ht="13.35" customHeight="1" thickBot="1" x14ac:dyDescent="0.35">
      <c r="A22" s="15"/>
      <c r="B22" s="8"/>
      <c r="C22" s="226">
        <f>DATE(Anobe,7,1)</f>
        <v>43647</v>
      </c>
      <c r="D22" s="226"/>
      <c r="E22" s="226"/>
      <c r="F22" s="226"/>
      <c r="G22" s="226"/>
      <c r="H22" s="226"/>
      <c r="I22" s="226"/>
      <c r="J22" s="15"/>
      <c r="K22" s="226">
        <f>DATE(Anobe,8,1)</f>
        <v>43678</v>
      </c>
      <c r="L22" s="226"/>
      <c r="M22" s="226"/>
      <c r="N22" s="226"/>
      <c r="O22" s="226"/>
      <c r="P22" s="226"/>
      <c r="Q22" s="226"/>
      <c r="R22" s="15"/>
      <c r="S22" s="226">
        <f>DATE(Anobe,9,1)</f>
        <v>43709</v>
      </c>
      <c r="T22" s="226"/>
      <c r="U22" s="226"/>
      <c r="V22" s="226"/>
      <c r="W22" s="226"/>
      <c r="X22" s="226"/>
      <c r="Y22" s="226"/>
      <c r="Z22" s="7"/>
      <c r="AA22" s="214"/>
    </row>
    <row r="23" spans="1:27" s="20" customFormat="1" ht="20.6" customHeight="1" thickBot="1" x14ac:dyDescent="0.35">
      <c r="A23" s="10"/>
      <c r="B23" s="17"/>
      <c r="C23" s="216" t="str">
        <f>CHOOSE(MONTH(C4),"JUILLET")</f>
        <v>JUILLET</v>
      </c>
      <c r="D23" s="217"/>
      <c r="E23" s="217"/>
      <c r="F23" s="217"/>
      <c r="G23" s="217"/>
      <c r="H23" s="217"/>
      <c r="I23" s="218"/>
      <c r="J23" s="10"/>
      <c r="K23" s="216" t="str">
        <f>CHOOSE(MONTH(C4),"AOÛT")</f>
        <v>AOÛT</v>
      </c>
      <c r="L23" s="217"/>
      <c r="M23" s="217"/>
      <c r="N23" s="217"/>
      <c r="O23" s="217"/>
      <c r="P23" s="217"/>
      <c r="Q23" s="218"/>
      <c r="R23" s="10"/>
      <c r="S23" s="227" t="str">
        <f>CHOOSE(MONTH(C4),"SEPTEMBRE")</f>
        <v>SEPTEMBRE</v>
      </c>
      <c r="T23" s="228"/>
      <c r="U23" s="228"/>
      <c r="V23" s="228"/>
      <c r="W23" s="228"/>
      <c r="X23" s="228"/>
      <c r="Y23" s="229"/>
      <c r="Z23" s="19"/>
      <c r="AA23" s="214"/>
    </row>
    <row r="24" spans="1:27" s="20" customFormat="1" ht="16.350000000000001" customHeight="1" thickBot="1" x14ac:dyDescent="0.35">
      <c r="A24" s="10"/>
      <c r="B24" s="51"/>
      <c r="C24" s="74" t="str">
        <f t="shared" ref="C24:I24" si="48">CHOOSE(COLUMN(A$1)+(Débutsembe="Lundi"),"Di","Lu","Ma","Me","Je","Ve","Sa","Di")</f>
        <v>Lu</v>
      </c>
      <c r="D24" s="74" t="str">
        <f t="shared" si="48"/>
        <v>Ma</v>
      </c>
      <c r="E24" s="74" t="str">
        <f t="shared" si="48"/>
        <v>Me</v>
      </c>
      <c r="F24" s="74" t="str">
        <f t="shared" si="48"/>
        <v>Je</v>
      </c>
      <c r="G24" s="74" t="str">
        <f t="shared" si="48"/>
        <v>Ve</v>
      </c>
      <c r="H24" s="80" t="str">
        <f t="shared" si="48"/>
        <v>Sa</v>
      </c>
      <c r="I24" s="80" t="str">
        <f t="shared" si="48"/>
        <v>Di</v>
      </c>
      <c r="J24" s="27"/>
      <c r="K24" s="74" t="str">
        <f t="shared" ref="K24:Q24" si="49">CHOOSE(COLUMN(A$1)+(Débutsembe="Lundi"),"Di","Lu","Ma","Me","Je","Ve","Sa","Di")</f>
        <v>Lu</v>
      </c>
      <c r="L24" s="74" t="str">
        <f t="shared" si="49"/>
        <v>Ma</v>
      </c>
      <c r="M24" s="74" t="str">
        <f t="shared" si="49"/>
        <v>Me</v>
      </c>
      <c r="N24" s="74" t="str">
        <f t="shared" si="49"/>
        <v>Je</v>
      </c>
      <c r="O24" s="74" t="str">
        <f t="shared" si="49"/>
        <v>Ve</v>
      </c>
      <c r="P24" s="80" t="str">
        <f t="shared" si="49"/>
        <v>Sa</v>
      </c>
      <c r="Q24" s="80" t="str">
        <f t="shared" si="49"/>
        <v>Di</v>
      </c>
      <c r="R24" s="44"/>
      <c r="S24" s="76" t="str">
        <f t="shared" ref="S24:Y24" si="50">CHOOSE(COLUMN(A$1)+(Débutsembe="Lundi"),"Di","Lu","Ma","Me","Je","Ve","Sa","Di")</f>
        <v>Lu</v>
      </c>
      <c r="T24" s="76" t="str">
        <f t="shared" si="50"/>
        <v>Ma</v>
      </c>
      <c r="U24" s="76" t="str">
        <f t="shared" si="50"/>
        <v>Me</v>
      </c>
      <c r="V24" s="76" t="str">
        <f t="shared" si="50"/>
        <v>Je</v>
      </c>
      <c r="W24" s="76" t="str">
        <f t="shared" si="50"/>
        <v>Ve</v>
      </c>
      <c r="X24" s="117" t="str">
        <f t="shared" si="50"/>
        <v>Sa</v>
      </c>
      <c r="Y24" s="117" t="str">
        <f t="shared" si="50"/>
        <v>Di</v>
      </c>
      <c r="Z24" s="57"/>
      <c r="AA24" s="214"/>
    </row>
    <row r="25" spans="1:27" ht="20.6" customHeight="1" x14ac:dyDescent="0.3">
      <c r="A25" s="15">
        <v>1</v>
      </c>
      <c r="B25" s="8"/>
      <c r="C25" s="35">
        <f t="shared" ref="C25:C30" si="51">DATE(Anobe,MONTH($C$22),1)-WEEKDAY(DATE(Anobe,MONTH($C$22),1),(Débutsembe="Lundi")+1)+$A7*7-6</f>
        <v>43647</v>
      </c>
      <c r="D25" s="36">
        <f t="shared" ref="D25:D30" si="52">DATE(Anobe,MONTH($C$22),1)-WEEKDAY(DATE(Anobe,MONTH($C$22),1),(Débutsembe="Lundi")+1)+$A7*7-5</f>
        <v>43648</v>
      </c>
      <c r="E25" s="36">
        <f t="shared" ref="E25:E30" si="53">DATE(Anobe,MONTH($C$22),1)-WEEKDAY(DATE(Anobe,MONTH($C$22),1),(Débutsembe="Lundi")+1)+$A7*7-4</f>
        <v>43649</v>
      </c>
      <c r="F25" s="36">
        <f t="shared" ref="F25:F30" si="54">DATE(Anobe,MONTH($C$22),1)-WEEKDAY(DATE(Anobe,MONTH($C$22),1),(Débutsembe="Lundi")+1)+$A7*7-3</f>
        <v>43650</v>
      </c>
      <c r="G25" s="36">
        <f t="shared" ref="G25:G30" si="55">DATE(Anobe,MONTH($C$22),1)-WEEKDAY(DATE(Anobe,MONTH($C$22),1),(Débutsembe="Lundi")+1)+$A7*7-2</f>
        <v>43651</v>
      </c>
      <c r="H25" s="37">
        <f t="shared" ref="H25:H30" si="56">DATE(Anobe,MONTH($C$22),1)-WEEKDAY(DATE(Anobe,MONTH($C$22),1),(Débutsembe="Lundi")+1)+$A7*7-1</f>
        <v>43652</v>
      </c>
      <c r="I25" s="38">
        <f t="shared" ref="I25:I30" si="57">DATE(Anobe,MONTH($C$22),1)-WEEKDAY(DATE(Anobe,MONTH($C$22),1),(Débutsembe="Lundi")+1)+$A7*7</f>
        <v>43653</v>
      </c>
      <c r="J25" s="15"/>
      <c r="K25" s="35">
        <f t="shared" ref="K25:K30" si="58">DATE(Anobe,MONTH($K$22),1)-WEEKDAY(DATE(Anobe,MONTH($K$22),1),(Débutsembe="Lundi")+1)+$A7*7-6</f>
        <v>43675</v>
      </c>
      <c r="L25" s="36">
        <f t="shared" ref="L25:L30" si="59">DATE(Anobe,MONTH($K$22),1)-WEEKDAY(DATE(Anobe,MONTH($K$22),1),(Débutsembe="Lundi")+1)+$A7*7-5</f>
        <v>43676</v>
      </c>
      <c r="M25" s="36">
        <f t="shared" ref="M25:M30" si="60">DATE(Anobe,MONTH($K$22),1)-WEEKDAY(DATE(Anobe,MONTH($K$22),1),(Débutsembe="Lundi")+1)+$A7*7-4</f>
        <v>43677</v>
      </c>
      <c r="N25" s="36">
        <f t="shared" ref="N25:N30" si="61">DATE(Anobe,MONTH($K$22),1)-WEEKDAY(DATE(Anobe,MONTH($K$22),1),(Débutsembe="Lundi")+1)+$A7*7-3</f>
        <v>43678</v>
      </c>
      <c r="O25" s="36">
        <f t="shared" ref="O25:O30" si="62">DATE(Anobe,MONTH($K$22),1)-WEEKDAY(DATE(Anobe,MONTH($K$22),1),(Débutsembe="Lundi")+1)+$A7*7-2</f>
        <v>43679</v>
      </c>
      <c r="P25" s="37">
        <f t="shared" ref="P25:P30" si="63">DATE(Anobe,MONTH($K$22),1)-WEEKDAY(DATE(Anobe,MONTH($K$22),1),(Débutsembe="Lundi")+1)+$A7*7-1</f>
        <v>43680</v>
      </c>
      <c r="Q25" s="38">
        <f t="shared" ref="Q25:Q30" si="64">DATE(Anobe,MONTH($K$22),1)-WEEKDAY(DATE(Anobe,MONTH($K$22),1),(Débutsembe="Lundi")+1)+$A7*7</f>
        <v>43681</v>
      </c>
      <c r="R25" s="15"/>
      <c r="S25" s="35">
        <f t="shared" ref="S25:S30" si="65">DATE(Anobe,MONTH($S$22),1)-WEEKDAY(DATE(Anobe,MONTH($S$22),1),(Débutsembe="Lundi")+1)+$A7*7-6</f>
        <v>43703</v>
      </c>
      <c r="T25" s="36">
        <f t="shared" ref="T25:T30" si="66">DATE(Anobe,MONTH($S$22),1)-WEEKDAY(DATE(Anobe,MONTH($S$22),1),(Débutsembe="Lundi")+1)+$A7*7-5</f>
        <v>43704</v>
      </c>
      <c r="U25" s="36">
        <f t="shared" ref="U25:U30" si="67">DATE(Anobe,MONTH($S$22),1)-WEEKDAY(DATE(Anobe,MONTH($S$22),1),(Débutsembe="Lundi")+1)+$A7*7-4</f>
        <v>43705</v>
      </c>
      <c r="V25" s="36">
        <f t="shared" ref="V25:V30" si="68">DATE(Anobe,MONTH($S$22),1)-WEEKDAY(DATE(Anobe,MONTH($S$22),1),(Débutsembe="Lundi")+1)+$A7*7-3</f>
        <v>43706</v>
      </c>
      <c r="W25" s="36">
        <f t="shared" ref="W25:W30" si="69">DATE(Anobe,MONTH($S$22),1)-WEEKDAY(DATE(Anobe,MONTH($S$22),1),(Débutsembe="Lundi")+1)+$A7*7-2</f>
        <v>43707</v>
      </c>
      <c r="X25" s="37">
        <f t="shared" ref="X25:X30" si="70">DATE(Anobe,MONTH($S$22),1)-WEEKDAY(DATE(Anobe,MONTH($S$22),1),(Débutsembe="Lundi")+1)+$A7*7-1</f>
        <v>43708</v>
      </c>
      <c r="Y25" s="38">
        <f t="shared" ref="Y25:Y30" si="71">DATE(Anobe,MONTH($S$22),1)-WEEKDAY(DATE(Anobe,MONTH($S$22),1),(Débutsembe="Lundi")+1)+$A7*7</f>
        <v>43709</v>
      </c>
      <c r="Z25" s="14"/>
      <c r="AA25" s="214"/>
    </row>
    <row r="26" spans="1:27" ht="20.6" customHeight="1" x14ac:dyDescent="0.3">
      <c r="A26" s="15">
        <v>2</v>
      </c>
      <c r="B26" s="8"/>
      <c r="C26" s="39">
        <f t="shared" si="51"/>
        <v>43654</v>
      </c>
      <c r="D26" s="40">
        <f t="shared" si="52"/>
        <v>43655</v>
      </c>
      <c r="E26" s="40">
        <f t="shared" si="53"/>
        <v>43656</v>
      </c>
      <c r="F26" s="40">
        <f t="shared" si="54"/>
        <v>43657</v>
      </c>
      <c r="G26" s="40">
        <f t="shared" si="55"/>
        <v>43658</v>
      </c>
      <c r="H26" s="41">
        <f t="shared" si="56"/>
        <v>43659</v>
      </c>
      <c r="I26" s="42">
        <f t="shared" si="57"/>
        <v>43660</v>
      </c>
      <c r="J26" s="15"/>
      <c r="K26" s="39">
        <f t="shared" si="58"/>
        <v>43682</v>
      </c>
      <c r="L26" s="40">
        <f t="shared" si="59"/>
        <v>43683</v>
      </c>
      <c r="M26" s="40">
        <f t="shared" si="60"/>
        <v>43684</v>
      </c>
      <c r="N26" s="40">
        <f t="shared" si="61"/>
        <v>43685</v>
      </c>
      <c r="O26" s="40">
        <f t="shared" si="62"/>
        <v>43686</v>
      </c>
      <c r="P26" s="41">
        <f t="shared" si="63"/>
        <v>43687</v>
      </c>
      <c r="Q26" s="42">
        <f t="shared" si="64"/>
        <v>43688</v>
      </c>
      <c r="R26" s="15"/>
      <c r="S26" s="39">
        <f t="shared" si="65"/>
        <v>43710</v>
      </c>
      <c r="T26" s="40">
        <f t="shared" si="66"/>
        <v>43711</v>
      </c>
      <c r="U26" s="40">
        <f t="shared" si="67"/>
        <v>43712</v>
      </c>
      <c r="V26" s="40">
        <f t="shared" si="68"/>
        <v>43713</v>
      </c>
      <c r="W26" s="40">
        <f t="shared" si="69"/>
        <v>43714</v>
      </c>
      <c r="X26" s="41">
        <f t="shared" si="70"/>
        <v>43715</v>
      </c>
      <c r="Y26" s="42">
        <f t="shared" si="71"/>
        <v>43716</v>
      </c>
      <c r="Z26" s="14"/>
      <c r="AA26" s="214"/>
    </row>
    <row r="27" spans="1:27" ht="20.6" customHeight="1" x14ac:dyDescent="0.3">
      <c r="A27" s="15">
        <v>3</v>
      </c>
      <c r="B27" s="8"/>
      <c r="C27" s="39">
        <f t="shared" si="51"/>
        <v>43661</v>
      </c>
      <c r="D27" s="40">
        <f t="shared" si="52"/>
        <v>43662</v>
      </c>
      <c r="E27" s="40">
        <f t="shared" si="53"/>
        <v>43663</v>
      </c>
      <c r="F27" s="40">
        <f t="shared" si="54"/>
        <v>43664</v>
      </c>
      <c r="G27" s="40">
        <f t="shared" si="55"/>
        <v>43665</v>
      </c>
      <c r="H27" s="41">
        <f t="shared" si="56"/>
        <v>43666</v>
      </c>
      <c r="I27" s="42">
        <f t="shared" si="57"/>
        <v>43667</v>
      </c>
      <c r="J27" s="15"/>
      <c r="K27" s="39">
        <f t="shared" si="58"/>
        <v>43689</v>
      </c>
      <c r="L27" s="40">
        <f t="shared" si="59"/>
        <v>43690</v>
      </c>
      <c r="M27" s="40">
        <f t="shared" si="60"/>
        <v>43691</v>
      </c>
      <c r="N27" s="40">
        <f t="shared" si="61"/>
        <v>43692</v>
      </c>
      <c r="O27" s="40">
        <f t="shared" si="62"/>
        <v>43693</v>
      </c>
      <c r="P27" s="41">
        <f t="shared" si="63"/>
        <v>43694</v>
      </c>
      <c r="Q27" s="42">
        <f t="shared" si="64"/>
        <v>43695</v>
      </c>
      <c r="R27" s="15"/>
      <c r="S27" s="39">
        <f t="shared" si="65"/>
        <v>43717</v>
      </c>
      <c r="T27" s="40">
        <f t="shared" si="66"/>
        <v>43718</v>
      </c>
      <c r="U27" s="40">
        <f t="shared" si="67"/>
        <v>43719</v>
      </c>
      <c r="V27" s="40">
        <f t="shared" si="68"/>
        <v>43720</v>
      </c>
      <c r="W27" s="40">
        <f t="shared" si="69"/>
        <v>43721</v>
      </c>
      <c r="X27" s="41">
        <f t="shared" si="70"/>
        <v>43722</v>
      </c>
      <c r="Y27" s="42">
        <f t="shared" si="71"/>
        <v>43723</v>
      </c>
      <c r="Z27" s="14"/>
      <c r="AA27" s="214"/>
    </row>
    <row r="28" spans="1:27" ht="20.6" customHeight="1" x14ac:dyDescent="0.3">
      <c r="A28" s="15">
        <v>4</v>
      </c>
      <c r="B28" s="8"/>
      <c r="C28" s="39">
        <f t="shared" si="51"/>
        <v>43668</v>
      </c>
      <c r="D28" s="40">
        <f t="shared" si="52"/>
        <v>43669</v>
      </c>
      <c r="E28" s="40">
        <f t="shared" si="53"/>
        <v>43670</v>
      </c>
      <c r="F28" s="40">
        <f t="shared" si="54"/>
        <v>43671</v>
      </c>
      <c r="G28" s="40">
        <f t="shared" si="55"/>
        <v>43672</v>
      </c>
      <c r="H28" s="41">
        <f t="shared" si="56"/>
        <v>43673</v>
      </c>
      <c r="I28" s="42">
        <f t="shared" si="57"/>
        <v>43674</v>
      </c>
      <c r="J28" s="15"/>
      <c r="K28" s="39">
        <f t="shared" si="58"/>
        <v>43696</v>
      </c>
      <c r="L28" s="40">
        <f t="shared" si="59"/>
        <v>43697</v>
      </c>
      <c r="M28" s="40">
        <f t="shared" si="60"/>
        <v>43698</v>
      </c>
      <c r="N28" s="40">
        <f t="shared" si="61"/>
        <v>43699</v>
      </c>
      <c r="O28" s="40">
        <f t="shared" si="62"/>
        <v>43700</v>
      </c>
      <c r="P28" s="41">
        <f t="shared" si="63"/>
        <v>43701</v>
      </c>
      <c r="Q28" s="42">
        <f t="shared" si="64"/>
        <v>43702</v>
      </c>
      <c r="R28" s="15"/>
      <c r="S28" s="39">
        <f t="shared" si="65"/>
        <v>43724</v>
      </c>
      <c r="T28" s="40">
        <f t="shared" si="66"/>
        <v>43725</v>
      </c>
      <c r="U28" s="40">
        <f t="shared" si="67"/>
        <v>43726</v>
      </c>
      <c r="V28" s="40">
        <f t="shared" si="68"/>
        <v>43727</v>
      </c>
      <c r="W28" s="40">
        <f t="shared" si="69"/>
        <v>43728</v>
      </c>
      <c r="X28" s="41">
        <f t="shared" si="70"/>
        <v>43729</v>
      </c>
      <c r="Y28" s="42">
        <f t="shared" si="71"/>
        <v>43730</v>
      </c>
      <c r="Z28" s="14"/>
      <c r="AA28" s="214"/>
    </row>
    <row r="29" spans="1:27" ht="20.6" customHeight="1" x14ac:dyDescent="0.3">
      <c r="A29" s="15">
        <v>5</v>
      </c>
      <c r="B29" s="8"/>
      <c r="C29" s="39">
        <f t="shared" si="51"/>
        <v>43675</v>
      </c>
      <c r="D29" s="40">
        <f t="shared" si="52"/>
        <v>43676</v>
      </c>
      <c r="E29" s="40">
        <f t="shared" si="53"/>
        <v>43677</v>
      </c>
      <c r="F29" s="40">
        <f t="shared" si="54"/>
        <v>43678</v>
      </c>
      <c r="G29" s="40">
        <f t="shared" si="55"/>
        <v>43679</v>
      </c>
      <c r="H29" s="41">
        <f t="shared" si="56"/>
        <v>43680</v>
      </c>
      <c r="I29" s="42">
        <f t="shared" si="57"/>
        <v>43681</v>
      </c>
      <c r="J29" s="15"/>
      <c r="K29" s="39">
        <f t="shared" si="58"/>
        <v>43703</v>
      </c>
      <c r="L29" s="40">
        <f t="shared" si="59"/>
        <v>43704</v>
      </c>
      <c r="M29" s="40">
        <f t="shared" si="60"/>
        <v>43705</v>
      </c>
      <c r="N29" s="40">
        <f t="shared" si="61"/>
        <v>43706</v>
      </c>
      <c r="O29" s="40">
        <f t="shared" si="62"/>
        <v>43707</v>
      </c>
      <c r="P29" s="41">
        <f t="shared" si="63"/>
        <v>43708</v>
      </c>
      <c r="Q29" s="42">
        <f t="shared" si="64"/>
        <v>43709</v>
      </c>
      <c r="R29" s="15"/>
      <c r="S29" s="39">
        <f t="shared" si="65"/>
        <v>43731</v>
      </c>
      <c r="T29" s="40">
        <f t="shared" si="66"/>
        <v>43732</v>
      </c>
      <c r="U29" s="40">
        <f t="shared" si="67"/>
        <v>43733</v>
      </c>
      <c r="V29" s="40">
        <f t="shared" si="68"/>
        <v>43734</v>
      </c>
      <c r="W29" s="40">
        <f t="shared" si="69"/>
        <v>43735</v>
      </c>
      <c r="X29" s="41">
        <f t="shared" si="70"/>
        <v>43736</v>
      </c>
      <c r="Y29" s="42">
        <f t="shared" si="71"/>
        <v>43737</v>
      </c>
      <c r="Z29" s="14"/>
      <c r="AA29" s="214"/>
    </row>
    <row r="30" spans="1:27" ht="20.6" customHeight="1" thickBot="1" x14ac:dyDescent="0.35">
      <c r="A30" s="15">
        <v>6</v>
      </c>
      <c r="B30" s="8"/>
      <c r="C30" s="45">
        <f t="shared" si="51"/>
        <v>43682</v>
      </c>
      <c r="D30" s="46">
        <f t="shared" si="52"/>
        <v>43683</v>
      </c>
      <c r="E30" s="46">
        <f t="shared" si="53"/>
        <v>43684</v>
      </c>
      <c r="F30" s="46">
        <f t="shared" si="54"/>
        <v>43685</v>
      </c>
      <c r="G30" s="46">
        <f t="shared" si="55"/>
        <v>43686</v>
      </c>
      <c r="H30" s="47">
        <f t="shared" si="56"/>
        <v>43687</v>
      </c>
      <c r="I30" s="48">
        <f t="shared" si="57"/>
        <v>43688</v>
      </c>
      <c r="J30" s="15"/>
      <c r="K30" s="45">
        <f t="shared" si="58"/>
        <v>43710</v>
      </c>
      <c r="L30" s="46">
        <f t="shared" si="59"/>
        <v>43711</v>
      </c>
      <c r="M30" s="46">
        <f t="shared" si="60"/>
        <v>43712</v>
      </c>
      <c r="N30" s="46">
        <f t="shared" si="61"/>
        <v>43713</v>
      </c>
      <c r="O30" s="46">
        <f t="shared" si="62"/>
        <v>43714</v>
      </c>
      <c r="P30" s="47">
        <f t="shared" si="63"/>
        <v>43715</v>
      </c>
      <c r="Q30" s="48">
        <f t="shared" si="64"/>
        <v>43716</v>
      </c>
      <c r="R30" s="15"/>
      <c r="S30" s="45">
        <f t="shared" si="65"/>
        <v>43738</v>
      </c>
      <c r="T30" s="46">
        <f t="shared" si="66"/>
        <v>43739</v>
      </c>
      <c r="U30" s="46">
        <f t="shared" si="67"/>
        <v>43740</v>
      </c>
      <c r="V30" s="46">
        <f t="shared" si="68"/>
        <v>43741</v>
      </c>
      <c r="W30" s="46">
        <f t="shared" si="69"/>
        <v>43742</v>
      </c>
      <c r="X30" s="47">
        <f t="shared" si="70"/>
        <v>43743</v>
      </c>
      <c r="Y30" s="48">
        <f t="shared" si="71"/>
        <v>43744</v>
      </c>
      <c r="Z30" s="14"/>
      <c r="AA30" s="214"/>
    </row>
    <row r="31" spans="1:27" ht="13.35" customHeight="1" thickBot="1" x14ac:dyDescent="0.35">
      <c r="A31" s="15"/>
      <c r="B31" s="8"/>
      <c r="C31" s="226">
        <f>DATE(Anobe,10,1)</f>
        <v>43739</v>
      </c>
      <c r="D31" s="226"/>
      <c r="E31" s="226"/>
      <c r="F31" s="226"/>
      <c r="G31" s="226"/>
      <c r="H31" s="226"/>
      <c r="I31" s="226"/>
      <c r="J31" s="15"/>
      <c r="K31" s="226">
        <f>DATE(Anobe,11,1)</f>
        <v>43770</v>
      </c>
      <c r="L31" s="226"/>
      <c r="M31" s="226"/>
      <c r="N31" s="226"/>
      <c r="O31" s="226"/>
      <c r="P31" s="226"/>
      <c r="Q31" s="226"/>
      <c r="R31" s="15"/>
      <c r="S31" s="226">
        <f>DATE(Anobe,12,1)</f>
        <v>43800</v>
      </c>
      <c r="T31" s="226"/>
      <c r="U31" s="226"/>
      <c r="V31" s="226"/>
      <c r="W31" s="226"/>
      <c r="X31" s="226"/>
      <c r="Y31" s="226"/>
      <c r="Z31" s="7"/>
      <c r="AA31" s="214"/>
    </row>
    <row r="32" spans="1:27" s="20" customFormat="1" ht="20.6" customHeight="1" thickBot="1" x14ac:dyDescent="0.35">
      <c r="A32" s="10"/>
      <c r="B32" s="17"/>
      <c r="C32" s="216" t="str">
        <f>CHOOSE(MONTH(C4),"OCTOBRE")</f>
        <v>OCTOBRE</v>
      </c>
      <c r="D32" s="217"/>
      <c r="E32" s="217"/>
      <c r="F32" s="217"/>
      <c r="G32" s="217"/>
      <c r="H32" s="217"/>
      <c r="I32" s="218"/>
      <c r="J32" s="10"/>
      <c r="K32" s="216" t="str">
        <f>CHOOSE(MONTH(C4),"NOVEMBRE")</f>
        <v>NOVEMBRE</v>
      </c>
      <c r="L32" s="217"/>
      <c r="M32" s="217"/>
      <c r="N32" s="217"/>
      <c r="O32" s="217"/>
      <c r="P32" s="217"/>
      <c r="Q32" s="218"/>
      <c r="R32" s="10"/>
      <c r="S32" s="216" t="str">
        <f>CHOOSE(MONTH(C4),"DÉCEMBRE")</f>
        <v>DÉCEMBRE</v>
      </c>
      <c r="T32" s="217"/>
      <c r="U32" s="217"/>
      <c r="V32" s="217"/>
      <c r="W32" s="217"/>
      <c r="X32" s="217"/>
      <c r="Y32" s="218"/>
      <c r="Z32" s="19"/>
      <c r="AA32" s="214"/>
    </row>
    <row r="33" spans="1:27" s="20" customFormat="1" ht="16.350000000000001" customHeight="1" thickBot="1" x14ac:dyDescent="0.35">
      <c r="A33" s="10"/>
      <c r="B33" s="51"/>
      <c r="C33" s="74" t="str">
        <f t="shared" ref="C33:I33" si="72">CHOOSE(COLUMN(A$1)+(Débutsembe="Lundi"),"Di","Lu","Ma","Me","Je","Ve","Sa","Di")</f>
        <v>Lu</v>
      </c>
      <c r="D33" s="74" t="str">
        <f t="shared" si="72"/>
        <v>Ma</v>
      </c>
      <c r="E33" s="74" t="str">
        <f t="shared" si="72"/>
        <v>Me</v>
      </c>
      <c r="F33" s="74" t="str">
        <f t="shared" si="72"/>
        <v>Je</v>
      </c>
      <c r="G33" s="74" t="str">
        <f t="shared" si="72"/>
        <v>Ve</v>
      </c>
      <c r="H33" s="80" t="str">
        <f t="shared" si="72"/>
        <v>Sa</v>
      </c>
      <c r="I33" s="80" t="str">
        <f t="shared" si="72"/>
        <v>Di</v>
      </c>
      <c r="J33" s="27"/>
      <c r="K33" s="74" t="str">
        <f t="shared" ref="K33:Q33" si="73">CHOOSE(COLUMN(A$1)+(Débutsembe="Lundi"),"Di","Lu","Ma","Me","Je","Ve","Sa","Di")</f>
        <v>Lu</v>
      </c>
      <c r="L33" s="74" t="str">
        <f t="shared" si="73"/>
        <v>Ma</v>
      </c>
      <c r="M33" s="74" t="str">
        <f t="shared" si="73"/>
        <v>Me</v>
      </c>
      <c r="N33" s="74" t="str">
        <f t="shared" si="73"/>
        <v>Je</v>
      </c>
      <c r="O33" s="74" t="str">
        <f t="shared" si="73"/>
        <v>Ve</v>
      </c>
      <c r="P33" s="80" t="str">
        <f t="shared" si="73"/>
        <v>Sa</v>
      </c>
      <c r="Q33" s="80" t="str">
        <f t="shared" si="73"/>
        <v>Di</v>
      </c>
      <c r="R33" s="27"/>
      <c r="S33" s="74" t="str">
        <f t="shared" ref="S33:Y33" si="74">CHOOSE(COLUMN(A$1)+(Débutsembe="Lundi"),"Di","Lu","Ma","Me","Je","Ve","Sa","Di")</f>
        <v>Lu</v>
      </c>
      <c r="T33" s="74" t="str">
        <f t="shared" si="74"/>
        <v>Ma</v>
      </c>
      <c r="U33" s="74" t="str">
        <f t="shared" si="74"/>
        <v>Me</v>
      </c>
      <c r="V33" s="74" t="str">
        <f t="shared" si="74"/>
        <v>Je</v>
      </c>
      <c r="W33" s="74" t="str">
        <f t="shared" si="74"/>
        <v>Ve</v>
      </c>
      <c r="X33" s="80" t="str">
        <f t="shared" si="74"/>
        <v>Sa</v>
      </c>
      <c r="Y33" s="80" t="str">
        <f t="shared" si="74"/>
        <v>Di</v>
      </c>
      <c r="Z33" s="78"/>
      <c r="AA33" s="214"/>
    </row>
    <row r="34" spans="1:27" ht="20.6" customHeight="1" x14ac:dyDescent="0.3">
      <c r="A34" s="15"/>
      <c r="B34" s="8"/>
      <c r="C34" s="35">
        <f t="shared" ref="C34:C39" si="75">DATE(Anobe,MONTH($C$31),1)-WEEKDAY(DATE(Anobe,MONTH($C$31),1),(Débutsembe="Lundi")+1)+$A7*7-6</f>
        <v>43738</v>
      </c>
      <c r="D34" s="36">
        <f t="shared" ref="D34:D39" si="76">DATE(Anobe,MONTH($C$31),1)-WEEKDAY(DATE(Anobe,MONTH($C$31),1),(Débutsembe="Lundi")+1)+$A7*7-5</f>
        <v>43739</v>
      </c>
      <c r="E34" s="36">
        <f t="shared" ref="E34:E39" si="77">DATE(Anobe,MONTH($C$31),1)-WEEKDAY(DATE(Anobe,MONTH($C$31),1),(Débutsembe="Lundi")+1)+$A7*7-4</f>
        <v>43740</v>
      </c>
      <c r="F34" s="36">
        <f t="shared" ref="F34:F39" si="78">DATE(Anobe,MONTH($C$31),1)-WEEKDAY(DATE(Anobe,MONTH($C$31),1),(Débutsembe="Lundi")+1)+$A7*7-3</f>
        <v>43741</v>
      </c>
      <c r="G34" s="36">
        <f t="shared" ref="G34:G39" si="79">DATE(Anobe,MONTH($C$31),1)-WEEKDAY(DATE(Anobe,MONTH($C$31),1),(Débutsembe="Lundi")+1)+$A7*7-2</f>
        <v>43742</v>
      </c>
      <c r="H34" s="37">
        <f t="shared" ref="H34:H39" si="80">DATE(Anobe,MONTH($C$31),1)-WEEKDAY(DATE(Anobe,MONTH($C$31),1),(Débutsembe="Lundi")+1)+$A7*7-1</f>
        <v>43743</v>
      </c>
      <c r="I34" s="38">
        <f t="shared" ref="I34:I39" si="81">DATE(Anobe,MONTH($C$31),1)-WEEKDAY(DATE(Anobe,MONTH($C$31),1),(Débutsembe="Lundi")+1)+$A7*7</f>
        <v>43744</v>
      </c>
      <c r="J34" s="15"/>
      <c r="K34" s="35">
        <f t="shared" ref="K34:K39" si="82">DATE(Anobe,MONTH($K$31),1)-WEEKDAY(DATE(Anobe,MONTH($K$31),1),(Débutsembe="Lundi")+1)+$A7*7-6</f>
        <v>43766</v>
      </c>
      <c r="L34" s="36">
        <f t="shared" ref="L34:L39" si="83">DATE(Anobe,MONTH($K$31),1)-WEEKDAY(DATE(Anobe,MONTH($K$31),1),(Débutsembe="Lundi")+1)+$A7*7-5</f>
        <v>43767</v>
      </c>
      <c r="M34" s="36">
        <f t="shared" ref="M34:M39" si="84">DATE(Anobe,MONTH($K$31),1)-WEEKDAY(DATE(Anobe,MONTH($K$31),1),(Débutsembe="Lundi")+1)+$A7*7-4</f>
        <v>43768</v>
      </c>
      <c r="N34" s="36">
        <f t="shared" ref="N34:N39" si="85">DATE(Anobe,MONTH($K$31),1)-WEEKDAY(DATE(Anobe,MONTH($K$31),1),(Débutsembe="Lundi")+1)+$A7*7-3</f>
        <v>43769</v>
      </c>
      <c r="O34" s="36">
        <f t="shared" ref="O34:O39" si="86">DATE(Anobe,MONTH($K$31),1)-WEEKDAY(DATE(Anobe,MONTH($K$31),1),(Débutsembe="Lundi")+1)+$A7*7-2</f>
        <v>43770</v>
      </c>
      <c r="P34" s="37">
        <f t="shared" ref="P34:P39" si="87">DATE(Anobe,MONTH($K$31),1)-WEEKDAY(DATE(Anobe,MONTH($K$31),1),(Débutsembe="Lundi")+1)+$A7*7-1</f>
        <v>43771</v>
      </c>
      <c r="Q34" s="38">
        <f t="shared" ref="Q34:Q39" si="88">DATE(Anobe,MONTH($K$31),1)-WEEKDAY(DATE(Anobe,MONTH($K$31),1),(Débutsembe="Lundi")+1)+$A7*7</f>
        <v>43772</v>
      </c>
      <c r="R34" s="15"/>
      <c r="S34" s="35">
        <f t="shared" ref="S34:S39" si="89">DATE(Anobe,MONTH($S$31),1)-WEEKDAY(DATE(Anobe,MONTH($S$31),1),(Débutsembe="Lundi")+1)+$A7*7-6</f>
        <v>43794</v>
      </c>
      <c r="T34" s="36">
        <f t="shared" ref="T34:T39" si="90">DATE(Anobe,MONTH($S$31),1)-WEEKDAY(DATE(Anobe,MONTH($S$31),1),(Débutsembe="Lundi")+1)+$A7*7-5</f>
        <v>43795</v>
      </c>
      <c r="U34" s="36">
        <f t="shared" ref="U34:U39" si="91">DATE(Anobe,MONTH($S$31),1)-WEEKDAY(DATE(Anobe,MONTH($S$31),1),(Débutsembe="Lundi")+1)+$A7*7-4</f>
        <v>43796</v>
      </c>
      <c r="V34" s="36">
        <f t="shared" ref="V34:V39" si="92">DATE(Anobe,MONTH($S$31),1)-WEEKDAY(DATE(Anobe,MONTH($S$31),1),(Débutsembe="Lundi")+1)+$A7*7-3</f>
        <v>43797</v>
      </c>
      <c r="W34" s="36">
        <f t="shared" ref="W34:W39" si="93">DATE(Anobe,MONTH($S$31),1)-WEEKDAY(DATE(Anobe,MONTH($S$31),1),(Débutsembe="Lundi")+1)+$A7*7-2</f>
        <v>43798</v>
      </c>
      <c r="X34" s="37">
        <f t="shared" ref="X34:X39" si="94">DATE(Anobe,MONTH($S$31),1)-WEEKDAY(DATE(Anobe,MONTH($S$31),1),(Débutsembe="Lundi")+1)+$A7*7-1</f>
        <v>43799</v>
      </c>
      <c r="Y34" s="38">
        <f t="shared" ref="Y34:Y39" si="95">DATE(Anobe,MONTH($S$31),1)-WEEKDAY(DATE(Anobe,MONTH($S$31),1),(Débutsembe="Lundi")+1)+$A7*7</f>
        <v>43800</v>
      </c>
      <c r="Z34" s="14"/>
      <c r="AA34" s="214"/>
    </row>
    <row r="35" spans="1:27" ht="20.6" customHeight="1" x14ac:dyDescent="0.3">
      <c r="A35" s="15"/>
      <c r="B35" s="8"/>
      <c r="C35" s="39">
        <f t="shared" si="75"/>
        <v>43745</v>
      </c>
      <c r="D35" s="40">
        <f t="shared" si="76"/>
        <v>43746</v>
      </c>
      <c r="E35" s="40">
        <f t="shared" si="77"/>
        <v>43747</v>
      </c>
      <c r="F35" s="40">
        <f t="shared" si="78"/>
        <v>43748</v>
      </c>
      <c r="G35" s="40">
        <f t="shared" si="79"/>
        <v>43749</v>
      </c>
      <c r="H35" s="41">
        <f t="shared" si="80"/>
        <v>43750</v>
      </c>
      <c r="I35" s="42">
        <f t="shared" si="81"/>
        <v>43751</v>
      </c>
      <c r="J35" s="15"/>
      <c r="K35" s="39">
        <f t="shared" si="82"/>
        <v>43773</v>
      </c>
      <c r="L35" s="40">
        <f t="shared" si="83"/>
        <v>43774</v>
      </c>
      <c r="M35" s="40">
        <f t="shared" si="84"/>
        <v>43775</v>
      </c>
      <c r="N35" s="40">
        <f t="shared" si="85"/>
        <v>43776</v>
      </c>
      <c r="O35" s="40">
        <f t="shared" si="86"/>
        <v>43777</v>
      </c>
      <c r="P35" s="41">
        <f t="shared" si="87"/>
        <v>43778</v>
      </c>
      <c r="Q35" s="42">
        <f t="shared" si="88"/>
        <v>43779</v>
      </c>
      <c r="R35" s="15"/>
      <c r="S35" s="39">
        <f t="shared" si="89"/>
        <v>43801</v>
      </c>
      <c r="T35" s="40">
        <f t="shared" si="90"/>
        <v>43802</v>
      </c>
      <c r="U35" s="40">
        <f t="shared" si="91"/>
        <v>43803</v>
      </c>
      <c r="V35" s="40">
        <f t="shared" si="92"/>
        <v>43804</v>
      </c>
      <c r="W35" s="40">
        <f t="shared" si="93"/>
        <v>43805</v>
      </c>
      <c r="X35" s="41">
        <f t="shared" si="94"/>
        <v>43806</v>
      </c>
      <c r="Y35" s="42">
        <f t="shared" si="95"/>
        <v>43807</v>
      </c>
      <c r="Z35" s="14"/>
      <c r="AA35" s="214"/>
    </row>
    <row r="36" spans="1:27" ht="20.6" customHeight="1" x14ac:dyDescent="0.3">
      <c r="A36" s="15"/>
      <c r="B36" s="8"/>
      <c r="C36" s="39">
        <f t="shared" si="75"/>
        <v>43752</v>
      </c>
      <c r="D36" s="40">
        <f t="shared" si="76"/>
        <v>43753</v>
      </c>
      <c r="E36" s="40">
        <f t="shared" si="77"/>
        <v>43754</v>
      </c>
      <c r="F36" s="40">
        <f t="shared" si="78"/>
        <v>43755</v>
      </c>
      <c r="G36" s="40">
        <f t="shared" si="79"/>
        <v>43756</v>
      </c>
      <c r="H36" s="41">
        <f t="shared" si="80"/>
        <v>43757</v>
      </c>
      <c r="I36" s="42">
        <f t="shared" si="81"/>
        <v>43758</v>
      </c>
      <c r="J36" s="15"/>
      <c r="K36" s="39">
        <f t="shared" si="82"/>
        <v>43780</v>
      </c>
      <c r="L36" s="40">
        <f t="shared" si="83"/>
        <v>43781</v>
      </c>
      <c r="M36" s="40">
        <f t="shared" si="84"/>
        <v>43782</v>
      </c>
      <c r="N36" s="40">
        <f t="shared" si="85"/>
        <v>43783</v>
      </c>
      <c r="O36" s="40">
        <f t="shared" si="86"/>
        <v>43784</v>
      </c>
      <c r="P36" s="41">
        <f t="shared" si="87"/>
        <v>43785</v>
      </c>
      <c r="Q36" s="42">
        <f t="shared" si="88"/>
        <v>43786</v>
      </c>
      <c r="R36" s="15"/>
      <c r="S36" s="39">
        <f t="shared" si="89"/>
        <v>43808</v>
      </c>
      <c r="T36" s="40">
        <f t="shared" si="90"/>
        <v>43809</v>
      </c>
      <c r="U36" s="40">
        <f t="shared" si="91"/>
        <v>43810</v>
      </c>
      <c r="V36" s="40">
        <f t="shared" si="92"/>
        <v>43811</v>
      </c>
      <c r="W36" s="40">
        <f t="shared" si="93"/>
        <v>43812</v>
      </c>
      <c r="X36" s="41">
        <f t="shared" si="94"/>
        <v>43813</v>
      </c>
      <c r="Y36" s="42">
        <f t="shared" si="95"/>
        <v>43814</v>
      </c>
      <c r="Z36" s="14"/>
      <c r="AA36" s="214"/>
    </row>
    <row r="37" spans="1:27" ht="20.6" customHeight="1" x14ac:dyDescent="0.3">
      <c r="A37" s="15"/>
      <c r="B37" s="8"/>
      <c r="C37" s="39">
        <f t="shared" si="75"/>
        <v>43759</v>
      </c>
      <c r="D37" s="40">
        <f t="shared" si="76"/>
        <v>43760</v>
      </c>
      <c r="E37" s="40">
        <f t="shared" si="77"/>
        <v>43761</v>
      </c>
      <c r="F37" s="40">
        <f t="shared" si="78"/>
        <v>43762</v>
      </c>
      <c r="G37" s="40">
        <f t="shared" si="79"/>
        <v>43763</v>
      </c>
      <c r="H37" s="41">
        <f t="shared" si="80"/>
        <v>43764</v>
      </c>
      <c r="I37" s="42">
        <f t="shared" si="81"/>
        <v>43765</v>
      </c>
      <c r="J37" s="15"/>
      <c r="K37" s="39">
        <f t="shared" si="82"/>
        <v>43787</v>
      </c>
      <c r="L37" s="40">
        <f t="shared" si="83"/>
        <v>43788</v>
      </c>
      <c r="M37" s="40">
        <f t="shared" si="84"/>
        <v>43789</v>
      </c>
      <c r="N37" s="40">
        <f t="shared" si="85"/>
        <v>43790</v>
      </c>
      <c r="O37" s="40">
        <f t="shared" si="86"/>
        <v>43791</v>
      </c>
      <c r="P37" s="41">
        <f t="shared" si="87"/>
        <v>43792</v>
      </c>
      <c r="Q37" s="42">
        <f t="shared" si="88"/>
        <v>43793</v>
      </c>
      <c r="R37" s="15"/>
      <c r="S37" s="39">
        <f t="shared" si="89"/>
        <v>43815</v>
      </c>
      <c r="T37" s="40">
        <f t="shared" si="90"/>
        <v>43816</v>
      </c>
      <c r="U37" s="40">
        <f t="shared" si="91"/>
        <v>43817</v>
      </c>
      <c r="V37" s="40">
        <f t="shared" si="92"/>
        <v>43818</v>
      </c>
      <c r="W37" s="40">
        <f t="shared" si="93"/>
        <v>43819</v>
      </c>
      <c r="X37" s="41">
        <f t="shared" si="94"/>
        <v>43820</v>
      </c>
      <c r="Y37" s="42">
        <f t="shared" si="95"/>
        <v>43821</v>
      </c>
      <c r="Z37" s="14"/>
      <c r="AA37" s="214"/>
    </row>
    <row r="38" spans="1:27" ht="20.6" customHeight="1" x14ac:dyDescent="0.3">
      <c r="A38" s="15"/>
      <c r="B38" s="8"/>
      <c r="C38" s="39">
        <f t="shared" si="75"/>
        <v>43766</v>
      </c>
      <c r="D38" s="40">
        <f t="shared" si="76"/>
        <v>43767</v>
      </c>
      <c r="E38" s="40">
        <f t="shared" si="77"/>
        <v>43768</v>
      </c>
      <c r="F38" s="40">
        <f t="shared" si="78"/>
        <v>43769</v>
      </c>
      <c r="G38" s="40">
        <f t="shared" si="79"/>
        <v>43770</v>
      </c>
      <c r="H38" s="41">
        <f t="shared" si="80"/>
        <v>43771</v>
      </c>
      <c r="I38" s="42">
        <f t="shared" si="81"/>
        <v>43772</v>
      </c>
      <c r="J38" s="15"/>
      <c r="K38" s="39">
        <f t="shared" si="82"/>
        <v>43794</v>
      </c>
      <c r="L38" s="40">
        <f t="shared" si="83"/>
        <v>43795</v>
      </c>
      <c r="M38" s="40">
        <f t="shared" si="84"/>
        <v>43796</v>
      </c>
      <c r="N38" s="40">
        <f t="shared" si="85"/>
        <v>43797</v>
      </c>
      <c r="O38" s="40">
        <f t="shared" si="86"/>
        <v>43798</v>
      </c>
      <c r="P38" s="41">
        <f t="shared" si="87"/>
        <v>43799</v>
      </c>
      <c r="Q38" s="42">
        <f t="shared" si="88"/>
        <v>43800</v>
      </c>
      <c r="R38" s="15"/>
      <c r="S38" s="39">
        <f t="shared" si="89"/>
        <v>43822</v>
      </c>
      <c r="T38" s="40">
        <f t="shared" si="90"/>
        <v>43823</v>
      </c>
      <c r="U38" s="40">
        <f t="shared" si="91"/>
        <v>43824</v>
      </c>
      <c r="V38" s="40">
        <f t="shared" si="92"/>
        <v>43825</v>
      </c>
      <c r="W38" s="40">
        <f t="shared" si="93"/>
        <v>43826</v>
      </c>
      <c r="X38" s="41">
        <f t="shared" si="94"/>
        <v>43827</v>
      </c>
      <c r="Y38" s="42">
        <f t="shared" si="95"/>
        <v>43828</v>
      </c>
      <c r="Z38" s="14"/>
      <c r="AA38" s="214"/>
    </row>
    <row r="39" spans="1:27" ht="20.6" customHeight="1" thickBot="1" x14ac:dyDescent="0.35">
      <c r="A39" s="15"/>
      <c r="B39" s="8"/>
      <c r="C39" s="83">
        <f t="shared" si="75"/>
        <v>43773</v>
      </c>
      <c r="D39" s="84">
        <f t="shared" si="76"/>
        <v>43774</v>
      </c>
      <c r="E39" s="84">
        <f t="shared" si="77"/>
        <v>43775</v>
      </c>
      <c r="F39" s="84">
        <f t="shared" si="78"/>
        <v>43776</v>
      </c>
      <c r="G39" s="84">
        <f t="shared" si="79"/>
        <v>43777</v>
      </c>
      <c r="H39" s="122">
        <f t="shared" si="80"/>
        <v>43778</v>
      </c>
      <c r="I39" s="123">
        <f t="shared" si="81"/>
        <v>43779</v>
      </c>
      <c r="J39" s="15"/>
      <c r="K39" s="45">
        <f t="shared" si="82"/>
        <v>43801</v>
      </c>
      <c r="L39" s="46">
        <f t="shared" si="83"/>
        <v>43802</v>
      </c>
      <c r="M39" s="46">
        <f t="shared" si="84"/>
        <v>43803</v>
      </c>
      <c r="N39" s="46">
        <f t="shared" si="85"/>
        <v>43804</v>
      </c>
      <c r="O39" s="46">
        <f t="shared" si="86"/>
        <v>43805</v>
      </c>
      <c r="P39" s="47">
        <f t="shared" si="87"/>
        <v>43806</v>
      </c>
      <c r="Q39" s="48">
        <f t="shared" si="88"/>
        <v>43807</v>
      </c>
      <c r="R39" s="15"/>
      <c r="S39" s="45">
        <f t="shared" si="89"/>
        <v>43829</v>
      </c>
      <c r="T39" s="46">
        <f t="shared" si="90"/>
        <v>43830</v>
      </c>
      <c r="U39" s="46">
        <f t="shared" si="91"/>
        <v>43831</v>
      </c>
      <c r="V39" s="46">
        <f t="shared" si="92"/>
        <v>43832</v>
      </c>
      <c r="W39" s="46">
        <f t="shared" si="93"/>
        <v>43833</v>
      </c>
      <c r="X39" s="47">
        <f t="shared" si="94"/>
        <v>43834</v>
      </c>
      <c r="Y39" s="48">
        <f t="shared" si="95"/>
        <v>43835</v>
      </c>
      <c r="Z39" s="14"/>
      <c r="AA39" s="214"/>
    </row>
    <row r="40" spans="1:27" ht="8.5" customHeight="1" thickBot="1" x14ac:dyDescent="0.35">
      <c r="A40" s="15"/>
      <c r="B40" s="58"/>
      <c r="C40" s="59"/>
      <c r="D40" s="59"/>
      <c r="E40" s="59"/>
      <c r="F40" s="59"/>
      <c r="G40" s="59"/>
      <c r="H40" s="59"/>
      <c r="I40" s="59"/>
      <c r="J40" s="60"/>
      <c r="K40" s="59"/>
      <c r="L40" s="59"/>
      <c r="M40" s="59"/>
      <c r="N40" s="59"/>
      <c r="O40" s="59"/>
      <c r="P40" s="59"/>
      <c r="Q40" s="59"/>
      <c r="R40" s="60"/>
      <c r="S40" s="59"/>
      <c r="T40" s="59"/>
      <c r="U40" s="59"/>
      <c r="V40" s="59"/>
      <c r="W40" s="59"/>
      <c r="X40" s="59"/>
      <c r="Y40" s="59"/>
      <c r="Z40" s="61"/>
      <c r="AA40" s="214"/>
    </row>
    <row r="41" spans="1:27" ht="7.3" customHeight="1" x14ac:dyDescent="0.3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</row>
  </sheetData>
  <sheetProtection algorithmName="SHA-512" hashValue="e4AawBIyZa9Sp48Z6mYN0NIlqqe/SDqP4EQjeTpFVZ3Yto/HQRfuFC90OUZfgKHTHzgrDgfqxZT3/ovSk60Mbg==" saltValue="ZIYpu04gQeo2eb8OVBK2Jw==" spinCount="100000" sheet="1" objects="1" scenarios="1"/>
  <mergeCells count="29">
    <mergeCell ref="A1:AA1"/>
    <mergeCell ref="AA2:AA40"/>
    <mergeCell ref="K3:Q3"/>
    <mergeCell ref="T3:X3"/>
    <mergeCell ref="C4:I4"/>
    <mergeCell ref="K4:Q4"/>
    <mergeCell ref="S4:Y4"/>
    <mergeCell ref="C5:I5"/>
    <mergeCell ref="K5:Q5"/>
    <mergeCell ref="S5:Y5"/>
    <mergeCell ref="C13:I13"/>
    <mergeCell ref="K13:Q13"/>
    <mergeCell ref="S13:Y13"/>
    <mergeCell ref="C14:I14"/>
    <mergeCell ref="K14:Q14"/>
    <mergeCell ref="S14:Y14"/>
    <mergeCell ref="C22:I22"/>
    <mergeCell ref="K22:Q22"/>
    <mergeCell ref="S22:Y22"/>
    <mergeCell ref="C23:I23"/>
    <mergeCell ref="K23:Q23"/>
    <mergeCell ref="S23:Y23"/>
    <mergeCell ref="A41:AA41"/>
    <mergeCell ref="C31:I31"/>
    <mergeCell ref="K31:Q31"/>
    <mergeCell ref="S31:Y31"/>
    <mergeCell ref="C32:I32"/>
    <mergeCell ref="K32:Q32"/>
    <mergeCell ref="S32:Y32"/>
  </mergeCells>
  <conditionalFormatting sqref="C7:I7">
    <cfRule type="expression" dxfId="190" priority="24">
      <formula>DAY(C7)&gt;7</formula>
    </cfRule>
  </conditionalFormatting>
  <conditionalFormatting sqref="K7:Q7">
    <cfRule type="expression" dxfId="189" priority="23">
      <formula>DAY(K7)&gt;7</formula>
    </cfRule>
  </conditionalFormatting>
  <conditionalFormatting sqref="S7:Y7">
    <cfRule type="expression" dxfId="188" priority="22">
      <formula>DAY(S7)&gt;7</formula>
    </cfRule>
  </conditionalFormatting>
  <conditionalFormatting sqref="C11:I12">
    <cfRule type="expression" dxfId="187" priority="12">
      <formula>DAY(C11)&lt;15</formula>
    </cfRule>
  </conditionalFormatting>
  <conditionalFormatting sqref="K11:Q12">
    <cfRule type="expression" dxfId="186" priority="11">
      <formula>DAY(K11)&lt;15</formula>
    </cfRule>
  </conditionalFormatting>
  <conditionalFormatting sqref="S11:Y12">
    <cfRule type="expression" dxfId="185" priority="10">
      <formula>DAY(S11)&lt;15</formula>
    </cfRule>
  </conditionalFormatting>
  <conditionalFormatting sqref="C20:I21">
    <cfRule type="expression" dxfId="184" priority="9">
      <formula>DAY(C20)&lt;15</formula>
    </cfRule>
  </conditionalFormatting>
  <conditionalFormatting sqref="K20:Q21">
    <cfRule type="expression" dxfId="183" priority="8">
      <formula>DAY(K20)&lt;15</formula>
    </cfRule>
  </conditionalFormatting>
  <conditionalFormatting sqref="S20:Y21">
    <cfRule type="expression" dxfId="182" priority="7">
      <formula>DAY(S20)&lt;15</formula>
    </cfRule>
  </conditionalFormatting>
  <conditionalFormatting sqref="C29:I30">
    <cfRule type="expression" dxfId="181" priority="6">
      <formula>DAY(C34)&lt;15</formula>
    </cfRule>
  </conditionalFormatting>
  <conditionalFormatting sqref="K29:Q30">
    <cfRule type="expression" dxfId="180" priority="5">
      <formula>DAY(K29)&lt;15</formula>
    </cfRule>
  </conditionalFormatting>
  <conditionalFormatting sqref="S29:Y30">
    <cfRule type="expression" dxfId="179" priority="4">
      <formula>DAY(S29)&lt;15</formula>
    </cfRule>
  </conditionalFormatting>
  <conditionalFormatting sqref="C38:I39">
    <cfRule type="expression" dxfId="178" priority="3">
      <formula>DAY(C38)&lt;15</formula>
    </cfRule>
  </conditionalFormatting>
  <conditionalFormatting sqref="K38:Q39">
    <cfRule type="expression" dxfId="177" priority="2">
      <formula>DAY(K38)&lt;15</formula>
    </cfRule>
  </conditionalFormatting>
  <conditionalFormatting sqref="S38:Y39">
    <cfRule type="expression" dxfId="176" priority="1">
      <formula>DAY(S38)&lt;15</formula>
    </cfRule>
  </conditionalFormatting>
  <conditionalFormatting sqref="C16:I16">
    <cfRule type="expression" dxfId="175" priority="21">
      <formula>DAY(C16)&gt;7</formula>
    </cfRule>
  </conditionalFormatting>
  <conditionalFormatting sqref="K16:Q16">
    <cfRule type="expression" dxfId="174" priority="20">
      <formula>DAY(K16)&gt;7</formula>
    </cfRule>
  </conditionalFormatting>
  <conditionalFormatting sqref="S16:Y16">
    <cfRule type="expression" dxfId="173" priority="19">
      <formula>DAY(S16)&gt;7</formula>
    </cfRule>
  </conditionalFormatting>
  <conditionalFormatting sqref="C25:I25">
    <cfRule type="expression" dxfId="172" priority="18">
      <formula>DAY(C25)&gt;7</formula>
    </cfRule>
  </conditionalFormatting>
  <conditionalFormatting sqref="K25:Q25">
    <cfRule type="expression" dxfId="171" priority="17">
      <formula>DAY(K25)&gt;7</formula>
    </cfRule>
  </conditionalFormatting>
  <conditionalFormatting sqref="S25:Y25">
    <cfRule type="expression" dxfId="170" priority="16">
      <formula>DAY(S25)&gt;7</formula>
    </cfRule>
  </conditionalFormatting>
  <conditionalFormatting sqref="C34:I34">
    <cfRule type="expression" dxfId="169" priority="15">
      <formula>DAY(C34)&gt;7</formula>
    </cfRule>
  </conditionalFormatting>
  <conditionalFormatting sqref="K34:Q34">
    <cfRule type="expression" dxfId="168" priority="14">
      <formula>DAY(K34)&gt;7</formula>
    </cfRule>
  </conditionalFormatting>
  <conditionalFormatting sqref="S34:Y34">
    <cfRule type="expression" dxfId="167" priority="13">
      <formula>DAY(S34)&gt;7</formula>
    </cfRule>
  </conditionalFormatting>
  <conditionalFormatting sqref="C7:I12 K7:Q12 S7:Y12 C16:I21 K16:Q21 S16:Y21 C25:I30 K25:Q30 S25:Y30 C34:I39 K34:Q39 S34:Y39">
    <cfRule type="expression" dxfId="166" priority="26">
      <formula>C7=TODAY()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E21B916D-4767-40E7-AD10-F05FD928931F}">
            <xm:f>VLOOKUP(C7,'Jours fériés'!$P$7:$P$16,1,FALSE)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F35A-DA1D-4522-BF04-E126D523FF57}">
  <dimension ref="A1:AC41"/>
  <sheetViews>
    <sheetView workbookViewId="0">
      <selection activeCell="C3" sqref="C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9" ht="7.3" customHeight="1" thickBot="1" x14ac:dyDescent="0.35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29" ht="8.5" customHeight="1" thickBot="1" x14ac:dyDescent="0.35">
      <c r="A2" s="2"/>
      <c r="B2" s="3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6"/>
      <c r="AA2" s="214"/>
    </row>
    <row r="3" spans="1:29" ht="21.8" customHeight="1" thickTop="1" thickBot="1" x14ac:dyDescent="0.35">
      <c r="A3" s="7"/>
      <c r="B3" s="8"/>
      <c r="C3" s="9"/>
      <c r="D3" s="10"/>
      <c r="E3" s="10"/>
      <c r="F3" s="10"/>
      <c r="G3" s="10"/>
      <c r="H3" s="10"/>
      <c r="I3" s="10"/>
      <c r="J3" s="11"/>
      <c r="K3" s="222">
        <v>2019</v>
      </c>
      <c r="L3" s="223"/>
      <c r="M3" s="223"/>
      <c r="N3" s="223"/>
      <c r="O3" s="223"/>
      <c r="P3" s="223"/>
      <c r="Q3" s="223"/>
      <c r="R3" s="12"/>
      <c r="S3" s="13"/>
      <c r="T3" s="224"/>
      <c r="U3" s="224"/>
      <c r="V3" s="224"/>
      <c r="W3" s="224"/>
      <c r="X3" s="224"/>
      <c r="Y3" s="10"/>
      <c r="Z3" s="14"/>
      <c r="AA3" s="214"/>
    </row>
    <row r="4" spans="1:29" ht="12.1" customHeight="1" thickTop="1" thickBot="1" x14ac:dyDescent="0.35">
      <c r="A4" s="15"/>
      <c r="B4" s="8"/>
      <c r="C4" s="215">
        <f>DATE(Anofr,1,1)</f>
        <v>43466</v>
      </c>
      <c r="D4" s="215"/>
      <c r="E4" s="215"/>
      <c r="F4" s="215"/>
      <c r="G4" s="215"/>
      <c r="H4" s="215"/>
      <c r="I4" s="215"/>
      <c r="J4" s="15"/>
      <c r="K4" s="225">
        <f>DATE(Anofr,2,1)</f>
        <v>43497</v>
      </c>
      <c r="L4" s="225"/>
      <c r="M4" s="225"/>
      <c r="N4" s="225"/>
      <c r="O4" s="225"/>
      <c r="P4" s="225"/>
      <c r="Q4" s="225"/>
      <c r="R4" s="16"/>
      <c r="S4" s="215">
        <f>DATE(Anofr,3,1)</f>
        <v>43525</v>
      </c>
      <c r="T4" s="215"/>
      <c r="U4" s="215"/>
      <c r="V4" s="215"/>
      <c r="W4" s="215"/>
      <c r="X4" s="215"/>
      <c r="Y4" s="215"/>
      <c r="Z4" s="7"/>
      <c r="AA4" s="214"/>
    </row>
    <row r="5" spans="1:29" s="20" customFormat="1" ht="20.6" customHeight="1" thickBot="1" x14ac:dyDescent="0.35">
      <c r="A5" s="10"/>
      <c r="B5" s="17"/>
      <c r="C5" s="216" t="str">
        <f>CHOOSE(MONTH(C4),"JANVIER")</f>
        <v>JANVIER</v>
      </c>
      <c r="D5" s="217"/>
      <c r="E5" s="217"/>
      <c r="F5" s="217"/>
      <c r="G5" s="217"/>
      <c r="H5" s="217"/>
      <c r="I5" s="218"/>
      <c r="J5" s="18" t="s">
        <v>0</v>
      </c>
      <c r="K5" s="216" t="str">
        <f>CHOOSE(MONTH(C4),"FÉVRIER")</f>
        <v>FÉVRIER</v>
      </c>
      <c r="L5" s="217"/>
      <c r="M5" s="217"/>
      <c r="N5" s="217"/>
      <c r="O5" s="217"/>
      <c r="P5" s="217"/>
      <c r="Q5" s="218"/>
      <c r="R5" s="10"/>
      <c r="S5" s="233" t="str">
        <f>CHOOSE(MONTH(C4),"MARS")</f>
        <v>MARS</v>
      </c>
      <c r="T5" s="234"/>
      <c r="U5" s="234"/>
      <c r="V5" s="234"/>
      <c r="W5" s="234"/>
      <c r="X5" s="234"/>
      <c r="Y5" s="235"/>
      <c r="Z5" s="19"/>
      <c r="AA5" s="214"/>
    </row>
    <row r="6" spans="1:29" s="20" customFormat="1" ht="16.350000000000001" customHeight="1" thickBot="1" x14ac:dyDescent="0.35">
      <c r="A6" s="10"/>
      <c r="B6" s="17"/>
      <c r="C6" s="74" t="str">
        <f t="shared" ref="C6:I6" si="0">CHOOSE(COLUMN(A$1)+(Débutsemfr="Lundi"),"Di","Lu","Ma","Me","Je","Ve","Sa","Di")</f>
        <v>Lu</v>
      </c>
      <c r="D6" s="74" t="str">
        <f t="shared" si="0"/>
        <v>Ma</v>
      </c>
      <c r="E6" s="74" t="str">
        <f t="shared" si="0"/>
        <v>Me</v>
      </c>
      <c r="F6" s="74" t="str">
        <f t="shared" si="0"/>
        <v>Je</v>
      </c>
      <c r="G6" s="147" t="str">
        <f t="shared" si="0"/>
        <v>Ve</v>
      </c>
      <c r="H6" s="80" t="str">
        <f t="shared" si="0"/>
        <v>Sa</v>
      </c>
      <c r="I6" s="80" t="str">
        <f t="shared" si="0"/>
        <v>Di</v>
      </c>
      <c r="J6" s="27"/>
      <c r="K6" s="74" t="str">
        <f t="shared" ref="K6:Q6" si="1">CHOOSE(COLUMN(A$1)+(Débutsemfr="Lundi"),"Di","Lu","Ma","Me","Je","Ve","Sa","Di")</f>
        <v>Lu</v>
      </c>
      <c r="L6" s="74" t="str">
        <f t="shared" si="1"/>
        <v>Ma</v>
      </c>
      <c r="M6" s="74" t="str">
        <f t="shared" si="1"/>
        <v>Me</v>
      </c>
      <c r="N6" s="74" t="str">
        <f t="shared" si="1"/>
        <v>Je</v>
      </c>
      <c r="O6" s="74" t="str">
        <f t="shared" si="1"/>
        <v>Ve</v>
      </c>
      <c r="P6" s="80" t="str">
        <f t="shared" si="1"/>
        <v>Sa</v>
      </c>
      <c r="Q6" s="80" t="str">
        <f t="shared" si="1"/>
        <v>Di</v>
      </c>
      <c r="R6" s="79"/>
      <c r="S6" s="74" t="str">
        <f t="shared" ref="S6:Y6" si="2">CHOOSE(COLUMN(A$1)+(Débutsemfr="Lundi"),"Di","Lu","Ma","Me","Je","Ve","Sa","Di")</f>
        <v>Lu</v>
      </c>
      <c r="T6" s="74" t="str">
        <f t="shared" si="2"/>
        <v>Ma</v>
      </c>
      <c r="U6" s="74" t="str">
        <f t="shared" si="2"/>
        <v>Me</v>
      </c>
      <c r="V6" s="74" t="str">
        <f t="shared" si="2"/>
        <v>Je</v>
      </c>
      <c r="W6" s="74" t="str">
        <f t="shared" si="2"/>
        <v>Ve</v>
      </c>
      <c r="X6" s="80" t="str">
        <f t="shared" si="2"/>
        <v>Sa</v>
      </c>
      <c r="Y6" s="80" t="str">
        <f t="shared" si="2"/>
        <v>Di</v>
      </c>
      <c r="Z6" s="78"/>
      <c r="AA6" s="214"/>
    </row>
    <row r="7" spans="1:29" ht="20.6" customHeight="1" x14ac:dyDescent="0.3">
      <c r="A7" s="15">
        <v>1</v>
      </c>
      <c r="B7" s="8"/>
      <c r="C7" s="35">
        <f t="shared" ref="C7:C12" si="3">DATE(Anofr,MONTH($C$4),1)-WEEKDAY(DATE(Anofr,MONTH($C$4),1),(Débutsemfr="Lundi")+1)+$A7*7-6</f>
        <v>43465</v>
      </c>
      <c r="D7" s="36">
        <f t="shared" ref="D7:D12" si="4">DATE(Anofr,MONTH($C$4),1)-WEEKDAY(DATE(Anofr,MONTH($C$4),1),(Débutsemfr="Lundi")+1)+$A7*7-5</f>
        <v>43466</v>
      </c>
      <c r="E7" s="36">
        <f t="shared" ref="E7:E12" si="5">DATE(Anofr,MONTH($C$4),1)-WEEKDAY(DATE(Anofr,MONTH($C$4),1),(Débutsemfr="Lundi")+1)+$A7*7-4</f>
        <v>43467</v>
      </c>
      <c r="F7" s="36">
        <f t="shared" ref="F7:F12" si="6">DATE(Anofr,MONTH($C$4),1)-WEEKDAY(DATE(Anofr,MONTH($C$4),1),(Débutsemfr="Lundi")+1)+$A7*7-3</f>
        <v>43468</v>
      </c>
      <c r="G7" s="36">
        <f t="shared" ref="G7:G12" si="7">DATE(Anofr,MONTH($C$4),1)-WEEKDAY(DATE(Anofr,MONTH($C$4),1),(Débutsemfr="Lundi")+1)+$A7*7-2</f>
        <v>43469</v>
      </c>
      <c r="H7" s="37">
        <f t="shared" ref="H7:H12" si="8">DATE(Anofr,MONTH($C$4),1)-WEEKDAY(DATE(Anofr,MONTH($C$4),1),(Débutsemfr="Lundi")+1)+$A7*7-1</f>
        <v>43470</v>
      </c>
      <c r="I7" s="38">
        <f t="shared" ref="I7:I12" si="9">DATE(Anofr,MONTH($C$4),1)-WEEKDAY(DATE(Anofr,MONTH($C$4),1),(Débutsemfr="Lundi")+1)+$A7*7</f>
        <v>43471</v>
      </c>
      <c r="J7" s="15"/>
      <c r="K7" s="35">
        <f t="shared" ref="K7:K12" si="10">DATE(Anofr,MONTH($K$4),1)-WEEKDAY(DATE(Anofr,MONTH($K$4),1),(Débutsemfr="Lundi")+1)+$A7*7-6</f>
        <v>43493</v>
      </c>
      <c r="L7" s="36">
        <f t="shared" ref="L7:L12" si="11">DATE(Anofr,MONTH($K$4),1)-WEEKDAY(DATE(Anofr,MONTH($K$4),1),(Débutsemfr="Lundi")+1)+$A7*7-5</f>
        <v>43494</v>
      </c>
      <c r="M7" s="36">
        <f t="shared" ref="M7:M12" si="12">DATE(Anofr,MONTH($K$4),1)-WEEKDAY(DATE(Anofr,MONTH($K$4),1),(Débutsemfr="Lundi")+1)+$A7*7-4</f>
        <v>43495</v>
      </c>
      <c r="N7" s="36">
        <f t="shared" ref="N7:N12" si="13">DATE(Anofr,MONTH($K$4),1)-WEEKDAY(DATE(Anofr,MONTH($K$4),1),(Débutsemfr="Lundi")+1)+$A7*7-3</f>
        <v>43496</v>
      </c>
      <c r="O7" s="36">
        <f t="shared" ref="O7:O12" si="14">DATE(Anofr,MONTH($K$4),1)-WEEKDAY(DATE(Anofr,MONTH($K$4),1),(Débutsemfr="Lundi")+1)+$A7*7-2</f>
        <v>43497</v>
      </c>
      <c r="P7" s="37">
        <f t="shared" ref="P7:P12" si="15">DATE(Anofr,MONTH($K$4),1)-WEEKDAY(DATE(Anofr,MONTH($K$4),1),(Débutsemfr="Lundi")+1)+$A7*7-1</f>
        <v>43498</v>
      </c>
      <c r="Q7" s="38">
        <f t="shared" ref="Q7:Q12" si="16">DATE(Anofr,MONTH($K$4),1)-WEEKDAY(DATE(Anofr,MONTH($K$4),1),(Débutsemfr="Lundi")+1)+$A7*7</f>
        <v>43499</v>
      </c>
      <c r="R7" s="15"/>
      <c r="S7" s="35">
        <f t="shared" ref="S7:S12" si="17">DATE(Anofr,MONTH($S$4),1)-WEEKDAY(DATE(Anofr,MONTH($S$4),1),(Débutsemfr="Lundi")+1)+$A7*7-6</f>
        <v>43521</v>
      </c>
      <c r="T7" s="36">
        <f t="shared" ref="T7:T12" si="18">DATE(Anofr,MONTH($S$4),1)-WEEKDAY(DATE(Anofr,MONTH($S$4),1),(Débutsemfr="Lundi")+1)+$A7*7-5</f>
        <v>43522</v>
      </c>
      <c r="U7" s="36">
        <f t="shared" ref="U7:U12" si="19">DATE(Anofr,MONTH($S$4),1)-WEEKDAY(DATE(Anofr,MONTH($S$4),1),(Débutsemfr="Lundi")+1)+$A7*7-4</f>
        <v>43523</v>
      </c>
      <c r="V7" s="36">
        <f t="shared" ref="V7:V12" si="20">DATE(Anofr,MONTH($S$4),1)-WEEKDAY(DATE(Anofr,MONTH($S$4),1),(Débutsemfr="Lundi")+1)+$A7*7-3</f>
        <v>43524</v>
      </c>
      <c r="W7" s="36">
        <f t="shared" ref="W7:W12" si="21">DATE(Anofr,MONTH($S$4),1)-WEEKDAY(DATE(Anofr,MONTH($S$4),1),(Débutsemfr="Lundi")+1)+$A7*7-2</f>
        <v>43525</v>
      </c>
      <c r="X7" s="37">
        <f t="shared" ref="X7:X12" si="22">DATE(Anofr,MONTH($S$4),1)-WEEKDAY(DATE(Anofr,MONTH($S$4),1),(Débutsemfr="Lundi")+1)+$A7*7-1</f>
        <v>43526</v>
      </c>
      <c r="Y7" s="38">
        <f t="shared" ref="Y7:Y12" si="23">DATE(Anofr,MONTH($S$4),1)-WEEKDAY(DATE(Anofr,MONTH($S$4),1),(Débutsemfr="Lundi")+1)+$A7*7</f>
        <v>43527</v>
      </c>
      <c r="Z7" s="14"/>
      <c r="AA7" s="214"/>
      <c r="AC7" s="146"/>
    </row>
    <row r="8" spans="1:29" ht="20.6" customHeight="1" x14ac:dyDescent="0.3">
      <c r="A8" s="15">
        <v>2</v>
      </c>
      <c r="B8" s="8"/>
      <c r="C8" s="39">
        <f t="shared" si="3"/>
        <v>43472</v>
      </c>
      <c r="D8" s="40">
        <f t="shared" si="4"/>
        <v>43473</v>
      </c>
      <c r="E8" s="40">
        <f t="shared" si="5"/>
        <v>43474</v>
      </c>
      <c r="F8" s="40">
        <f t="shared" si="6"/>
        <v>43475</v>
      </c>
      <c r="G8" s="40">
        <f t="shared" si="7"/>
        <v>43476</v>
      </c>
      <c r="H8" s="41">
        <f t="shared" si="8"/>
        <v>43477</v>
      </c>
      <c r="I8" s="42">
        <f t="shared" si="9"/>
        <v>43478</v>
      </c>
      <c r="J8" s="15"/>
      <c r="K8" s="39">
        <f t="shared" si="10"/>
        <v>43500</v>
      </c>
      <c r="L8" s="40">
        <f t="shared" si="11"/>
        <v>43501</v>
      </c>
      <c r="M8" s="40">
        <f t="shared" si="12"/>
        <v>43502</v>
      </c>
      <c r="N8" s="40">
        <f t="shared" si="13"/>
        <v>43503</v>
      </c>
      <c r="O8" s="40">
        <f t="shared" si="14"/>
        <v>43504</v>
      </c>
      <c r="P8" s="41">
        <f t="shared" si="15"/>
        <v>43505</v>
      </c>
      <c r="Q8" s="42">
        <f t="shared" si="16"/>
        <v>43506</v>
      </c>
      <c r="R8" s="15"/>
      <c r="S8" s="39">
        <f t="shared" si="17"/>
        <v>43528</v>
      </c>
      <c r="T8" s="40">
        <f t="shared" si="18"/>
        <v>43529</v>
      </c>
      <c r="U8" s="40">
        <f t="shared" si="19"/>
        <v>43530</v>
      </c>
      <c r="V8" s="40">
        <f t="shared" si="20"/>
        <v>43531</v>
      </c>
      <c r="W8" s="40">
        <f t="shared" si="21"/>
        <v>43532</v>
      </c>
      <c r="X8" s="41">
        <f t="shared" si="22"/>
        <v>43533</v>
      </c>
      <c r="Y8" s="42">
        <f t="shared" si="23"/>
        <v>43534</v>
      </c>
      <c r="Z8" s="14"/>
      <c r="AA8" s="214"/>
    </row>
    <row r="9" spans="1:29" ht="20.6" customHeight="1" x14ac:dyDescent="0.3">
      <c r="A9" s="15">
        <v>3</v>
      </c>
      <c r="B9" s="8"/>
      <c r="C9" s="39">
        <f t="shared" si="3"/>
        <v>43479</v>
      </c>
      <c r="D9" s="40">
        <f t="shared" si="4"/>
        <v>43480</v>
      </c>
      <c r="E9" s="40">
        <f t="shared" si="5"/>
        <v>43481</v>
      </c>
      <c r="F9" s="40">
        <f t="shared" si="6"/>
        <v>43482</v>
      </c>
      <c r="G9" s="40">
        <f t="shared" si="7"/>
        <v>43483</v>
      </c>
      <c r="H9" s="41">
        <f t="shared" si="8"/>
        <v>43484</v>
      </c>
      <c r="I9" s="42">
        <f t="shared" si="9"/>
        <v>43485</v>
      </c>
      <c r="J9" s="15"/>
      <c r="K9" s="39">
        <f t="shared" si="10"/>
        <v>43507</v>
      </c>
      <c r="L9" s="40">
        <f t="shared" si="11"/>
        <v>43508</v>
      </c>
      <c r="M9" s="40">
        <f t="shared" si="12"/>
        <v>43509</v>
      </c>
      <c r="N9" s="40">
        <f t="shared" si="13"/>
        <v>43510</v>
      </c>
      <c r="O9" s="40">
        <f t="shared" si="14"/>
        <v>43511</v>
      </c>
      <c r="P9" s="41">
        <f t="shared" si="15"/>
        <v>43512</v>
      </c>
      <c r="Q9" s="42">
        <f t="shared" si="16"/>
        <v>43513</v>
      </c>
      <c r="R9" s="15"/>
      <c r="S9" s="39">
        <f t="shared" si="17"/>
        <v>43535</v>
      </c>
      <c r="T9" s="40">
        <f t="shared" si="18"/>
        <v>43536</v>
      </c>
      <c r="U9" s="40">
        <f t="shared" si="19"/>
        <v>43537</v>
      </c>
      <c r="V9" s="40">
        <f t="shared" si="20"/>
        <v>43538</v>
      </c>
      <c r="W9" s="40">
        <f t="shared" si="21"/>
        <v>43539</v>
      </c>
      <c r="X9" s="41">
        <f t="shared" si="22"/>
        <v>43540</v>
      </c>
      <c r="Y9" s="42">
        <f t="shared" si="23"/>
        <v>43541</v>
      </c>
      <c r="Z9" s="43"/>
      <c r="AA9" s="214"/>
      <c r="AC9" s="73"/>
    </row>
    <row r="10" spans="1:29" ht="20.6" customHeight="1" x14ac:dyDescent="0.3">
      <c r="A10" s="15">
        <v>4</v>
      </c>
      <c r="B10" s="8"/>
      <c r="C10" s="39">
        <f t="shared" si="3"/>
        <v>43486</v>
      </c>
      <c r="D10" s="40">
        <f t="shared" si="4"/>
        <v>43487</v>
      </c>
      <c r="E10" s="40">
        <f t="shared" si="5"/>
        <v>43488</v>
      </c>
      <c r="F10" s="40">
        <f t="shared" si="6"/>
        <v>43489</v>
      </c>
      <c r="G10" s="40">
        <f t="shared" si="7"/>
        <v>43490</v>
      </c>
      <c r="H10" s="41">
        <f t="shared" si="8"/>
        <v>43491</v>
      </c>
      <c r="I10" s="42">
        <f t="shared" si="9"/>
        <v>43492</v>
      </c>
      <c r="J10" s="15"/>
      <c r="K10" s="39">
        <f t="shared" si="10"/>
        <v>43514</v>
      </c>
      <c r="L10" s="40">
        <f t="shared" si="11"/>
        <v>43515</v>
      </c>
      <c r="M10" s="40">
        <f t="shared" si="12"/>
        <v>43516</v>
      </c>
      <c r="N10" s="40">
        <f t="shared" si="13"/>
        <v>43517</v>
      </c>
      <c r="O10" s="40">
        <f t="shared" si="14"/>
        <v>43518</v>
      </c>
      <c r="P10" s="41">
        <f t="shared" si="15"/>
        <v>43519</v>
      </c>
      <c r="Q10" s="42">
        <f t="shared" si="16"/>
        <v>43520</v>
      </c>
      <c r="R10" s="15"/>
      <c r="S10" s="39">
        <f t="shared" si="17"/>
        <v>43542</v>
      </c>
      <c r="T10" s="40">
        <f t="shared" si="18"/>
        <v>43543</v>
      </c>
      <c r="U10" s="40">
        <f t="shared" si="19"/>
        <v>43544</v>
      </c>
      <c r="V10" s="40">
        <f t="shared" si="20"/>
        <v>43545</v>
      </c>
      <c r="W10" s="40">
        <f t="shared" si="21"/>
        <v>43546</v>
      </c>
      <c r="X10" s="41">
        <f t="shared" si="22"/>
        <v>43547</v>
      </c>
      <c r="Y10" s="42">
        <f t="shared" si="23"/>
        <v>43548</v>
      </c>
      <c r="Z10" s="43"/>
      <c r="AA10" s="214"/>
    </row>
    <row r="11" spans="1:29" ht="20.6" customHeight="1" x14ac:dyDescent="0.3">
      <c r="A11" s="15">
        <v>5</v>
      </c>
      <c r="B11" s="8"/>
      <c r="C11" s="39">
        <f t="shared" si="3"/>
        <v>43493</v>
      </c>
      <c r="D11" s="40">
        <f t="shared" si="4"/>
        <v>43494</v>
      </c>
      <c r="E11" s="40">
        <f t="shared" si="5"/>
        <v>43495</v>
      </c>
      <c r="F11" s="40">
        <f t="shared" si="6"/>
        <v>43496</v>
      </c>
      <c r="G11" s="40">
        <f t="shared" si="7"/>
        <v>43497</v>
      </c>
      <c r="H11" s="41">
        <f t="shared" si="8"/>
        <v>43498</v>
      </c>
      <c r="I11" s="42">
        <f t="shared" si="9"/>
        <v>43499</v>
      </c>
      <c r="J11" s="15"/>
      <c r="K11" s="39">
        <f t="shared" si="10"/>
        <v>43521</v>
      </c>
      <c r="L11" s="40">
        <f t="shared" si="11"/>
        <v>43522</v>
      </c>
      <c r="M11" s="40">
        <f t="shared" si="12"/>
        <v>43523</v>
      </c>
      <c r="N11" s="40">
        <f t="shared" si="13"/>
        <v>43524</v>
      </c>
      <c r="O11" s="40">
        <f t="shared" si="14"/>
        <v>43525</v>
      </c>
      <c r="P11" s="41">
        <f t="shared" si="15"/>
        <v>43526</v>
      </c>
      <c r="Q11" s="42">
        <f t="shared" si="16"/>
        <v>43527</v>
      </c>
      <c r="R11" s="15"/>
      <c r="S11" s="39">
        <f t="shared" si="17"/>
        <v>43549</v>
      </c>
      <c r="T11" s="40">
        <f t="shared" si="18"/>
        <v>43550</v>
      </c>
      <c r="U11" s="40">
        <f t="shared" si="19"/>
        <v>43551</v>
      </c>
      <c r="V11" s="40">
        <f t="shared" si="20"/>
        <v>43552</v>
      </c>
      <c r="W11" s="40">
        <f t="shared" si="21"/>
        <v>43553</v>
      </c>
      <c r="X11" s="41">
        <f t="shared" si="22"/>
        <v>43554</v>
      </c>
      <c r="Y11" s="42">
        <f t="shared" si="23"/>
        <v>43555</v>
      </c>
      <c r="Z11" s="43"/>
      <c r="AA11" s="214"/>
    </row>
    <row r="12" spans="1:29" ht="20.6" customHeight="1" thickBot="1" x14ac:dyDescent="0.35">
      <c r="A12" s="15">
        <v>6</v>
      </c>
      <c r="B12" s="8"/>
      <c r="C12" s="45">
        <f t="shared" si="3"/>
        <v>43500</v>
      </c>
      <c r="D12" s="46">
        <f t="shared" si="4"/>
        <v>43501</v>
      </c>
      <c r="E12" s="46">
        <f t="shared" si="5"/>
        <v>43502</v>
      </c>
      <c r="F12" s="46">
        <f t="shared" si="6"/>
        <v>43503</v>
      </c>
      <c r="G12" s="46">
        <f t="shared" si="7"/>
        <v>43504</v>
      </c>
      <c r="H12" s="47">
        <f t="shared" si="8"/>
        <v>43505</v>
      </c>
      <c r="I12" s="48">
        <f t="shared" si="9"/>
        <v>43506</v>
      </c>
      <c r="J12" s="15"/>
      <c r="K12" s="45">
        <f t="shared" si="10"/>
        <v>43528</v>
      </c>
      <c r="L12" s="46">
        <f t="shared" si="11"/>
        <v>43529</v>
      </c>
      <c r="M12" s="46">
        <f t="shared" si="12"/>
        <v>43530</v>
      </c>
      <c r="N12" s="46">
        <f t="shared" si="13"/>
        <v>43531</v>
      </c>
      <c r="O12" s="46">
        <f t="shared" si="14"/>
        <v>43532</v>
      </c>
      <c r="P12" s="47">
        <f t="shared" si="15"/>
        <v>43533</v>
      </c>
      <c r="Q12" s="48">
        <f t="shared" si="16"/>
        <v>43534</v>
      </c>
      <c r="R12" s="15"/>
      <c r="S12" s="45">
        <f t="shared" si="17"/>
        <v>43556</v>
      </c>
      <c r="T12" s="46">
        <f t="shared" si="18"/>
        <v>43557</v>
      </c>
      <c r="U12" s="46">
        <f t="shared" si="19"/>
        <v>43558</v>
      </c>
      <c r="V12" s="46">
        <f t="shared" si="20"/>
        <v>43559</v>
      </c>
      <c r="W12" s="46">
        <f t="shared" si="21"/>
        <v>43560</v>
      </c>
      <c r="X12" s="47">
        <f t="shared" si="22"/>
        <v>43561</v>
      </c>
      <c r="Y12" s="48">
        <f t="shared" si="23"/>
        <v>43562</v>
      </c>
      <c r="Z12" s="43"/>
      <c r="AA12" s="214"/>
    </row>
    <row r="13" spans="1:29" ht="13.35" customHeight="1" thickBot="1" x14ac:dyDescent="0.35">
      <c r="A13" s="15"/>
      <c r="B13" s="8"/>
      <c r="C13" s="215">
        <f>DATE(Anofr,4,1)</f>
        <v>43556</v>
      </c>
      <c r="D13" s="215"/>
      <c r="E13" s="215"/>
      <c r="F13" s="215"/>
      <c r="G13" s="215"/>
      <c r="H13" s="215"/>
      <c r="I13" s="215"/>
      <c r="J13" s="15"/>
      <c r="K13" s="215">
        <f>DATE(Anofr,5,1)</f>
        <v>43586</v>
      </c>
      <c r="L13" s="215"/>
      <c r="M13" s="215"/>
      <c r="N13" s="215"/>
      <c r="O13" s="215"/>
      <c r="P13" s="215"/>
      <c r="Q13" s="215"/>
      <c r="R13" s="15"/>
      <c r="S13" s="215">
        <f>DATE(Anofr,6,1)</f>
        <v>43617</v>
      </c>
      <c r="T13" s="215"/>
      <c r="U13" s="215"/>
      <c r="V13" s="215"/>
      <c r="W13" s="215"/>
      <c r="X13" s="215"/>
      <c r="Y13" s="215"/>
      <c r="Z13" s="49"/>
      <c r="AA13" s="214"/>
    </row>
    <row r="14" spans="1:29" s="20" customFormat="1" ht="20.6" customHeight="1" thickBot="1" x14ac:dyDescent="0.35">
      <c r="A14" s="10"/>
      <c r="B14" s="17"/>
      <c r="C14" s="216" t="str">
        <f>CHOOSE(MONTH(C4),"AVRIL")</f>
        <v>AVRIL</v>
      </c>
      <c r="D14" s="217"/>
      <c r="E14" s="217"/>
      <c r="F14" s="217"/>
      <c r="G14" s="217"/>
      <c r="H14" s="217"/>
      <c r="I14" s="218"/>
      <c r="J14" s="10"/>
      <c r="K14" s="216" t="str">
        <f>CHOOSE(MONTH(C4),"MAI")</f>
        <v>MAI</v>
      </c>
      <c r="L14" s="217"/>
      <c r="M14" s="217"/>
      <c r="N14" s="217"/>
      <c r="O14" s="217"/>
      <c r="P14" s="217"/>
      <c r="Q14" s="218"/>
      <c r="R14" s="10"/>
      <c r="S14" s="216" t="str">
        <f>CHOOSE(MONTH(C4),"JUIN")</f>
        <v>JUIN</v>
      </c>
      <c r="T14" s="217"/>
      <c r="U14" s="217"/>
      <c r="V14" s="217"/>
      <c r="W14" s="217"/>
      <c r="X14" s="217"/>
      <c r="Y14" s="218"/>
      <c r="Z14" s="50"/>
      <c r="AA14" s="214"/>
    </row>
    <row r="15" spans="1:29" s="20" customFormat="1" ht="16.350000000000001" customHeight="1" thickBot="1" x14ac:dyDescent="0.35">
      <c r="A15" s="10"/>
      <c r="B15" s="51"/>
      <c r="C15" s="74" t="str">
        <f t="shared" ref="C15:I15" si="24">CHOOSE(COLUMN(A$1)+(Débutsemfr="Lundi"),"Di","Lu","Ma","Me","Je","Ve","Sa","Di")</f>
        <v>Lu</v>
      </c>
      <c r="D15" s="74" t="str">
        <f t="shared" si="24"/>
        <v>Ma</v>
      </c>
      <c r="E15" s="74" t="str">
        <f t="shared" si="24"/>
        <v>Me</v>
      </c>
      <c r="F15" s="74" t="str">
        <f t="shared" si="24"/>
        <v>Je</v>
      </c>
      <c r="G15" s="74" t="str">
        <f t="shared" si="24"/>
        <v>Ve</v>
      </c>
      <c r="H15" s="80" t="str">
        <f t="shared" si="24"/>
        <v>Sa</v>
      </c>
      <c r="I15" s="80" t="str">
        <f t="shared" si="24"/>
        <v>Di</v>
      </c>
      <c r="J15" s="27"/>
      <c r="K15" s="74" t="str">
        <f t="shared" ref="K15:Q15" si="25">CHOOSE(COLUMN(A$1)+(Débutsemfr="Lundi"),"Di","Lu","Ma","Me","Je","Ve","Sa","Di")</f>
        <v>Lu</v>
      </c>
      <c r="L15" s="74" t="str">
        <f t="shared" si="25"/>
        <v>Ma</v>
      </c>
      <c r="M15" s="74" t="str">
        <f t="shared" si="25"/>
        <v>Me</v>
      </c>
      <c r="N15" s="74" t="str">
        <f t="shared" si="25"/>
        <v>Je</v>
      </c>
      <c r="O15" s="74" t="str">
        <f t="shared" si="25"/>
        <v>Ve</v>
      </c>
      <c r="P15" s="80" t="str">
        <f t="shared" si="25"/>
        <v>Sa</v>
      </c>
      <c r="Q15" s="80" t="str">
        <f t="shared" si="25"/>
        <v>Di</v>
      </c>
      <c r="R15" s="27"/>
      <c r="S15" s="74" t="str">
        <f t="shared" ref="S15:Y15" si="26">CHOOSE(COLUMN(A$1)+(Débutsemfr="Lundi"),"Di","Lu","Ma","Me","Je","Ve","Sa","Di")</f>
        <v>Lu</v>
      </c>
      <c r="T15" s="74" t="str">
        <f t="shared" si="26"/>
        <v>Ma</v>
      </c>
      <c r="U15" s="74" t="str">
        <f t="shared" si="26"/>
        <v>Me</v>
      </c>
      <c r="V15" s="74" t="str">
        <f t="shared" si="26"/>
        <v>Je</v>
      </c>
      <c r="W15" s="74" t="str">
        <f t="shared" si="26"/>
        <v>Ve</v>
      </c>
      <c r="X15" s="80" t="str">
        <f t="shared" si="26"/>
        <v>Sa</v>
      </c>
      <c r="Y15" s="80" t="str">
        <f t="shared" si="26"/>
        <v>Di</v>
      </c>
      <c r="Z15" s="52"/>
      <c r="AA15" s="214"/>
    </row>
    <row r="16" spans="1:29" ht="20.6" customHeight="1" x14ac:dyDescent="0.3">
      <c r="A16" s="15"/>
      <c r="B16" s="8"/>
      <c r="C16" s="35">
        <f t="shared" ref="C16:C21" si="27">DATE(Anofr,MONTH($C$13),1)-WEEKDAY(DATE(Anofr,MONTH($C$4),1),(Débutsemfr="Lundi")+1)+$A7*7-6</f>
        <v>43555</v>
      </c>
      <c r="D16" s="36">
        <f t="shared" ref="D16:D21" si="28">DATE(Anofr,MONTH($C$13),1)-WEEKDAY(DATE(Anofr,MONTH($C$4),1),(Débutsemfr="Lundi")+1)+$A7*7-5</f>
        <v>43556</v>
      </c>
      <c r="E16" s="36">
        <f t="shared" ref="E16:E21" si="29">DATE(Anofr,MONTH($C$13),1)-WEEKDAY(DATE(Anofr,MONTH($C$4),1),(Débutsemfr="Lundi")+1)+$A7*7-4</f>
        <v>43557</v>
      </c>
      <c r="F16" s="36">
        <f t="shared" ref="F16:F21" si="30">DATE(Anofr,MONTH($C$13),1)-WEEKDAY(DATE(Anofr,MONTH($C$4),1),(Débutsemfr="Lundi")+1)+$A7*7-3</f>
        <v>43558</v>
      </c>
      <c r="G16" s="36">
        <f t="shared" ref="G16:G21" si="31">DATE(Anofr,MONTH($C$13),1)-WEEKDAY(DATE(Anofr,MONTH($C$4),1),(Débutsemfr="Lundi")+1)+$A7*7-2</f>
        <v>43559</v>
      </c>
      <c r="H16" s="37">
        <f t="shared" ref="H16:H21" si="32">DATE(Anofr,MONTH($C$13),1)-WEEKDAY(DATE(Anofr,MONTH($C$4),1),(Débutsemfr="Lundi")+1)+$A7*7-1</f>
        <v>43560</v>
      </c>
      <c r="I16" s="38">
        <f t="shared" ref="I16:I21" si="33">DATE(Anofr,MONTH($C$13),1)-WEEKDAY(DATE(Anofr,MONTH($C$4),1),(Débutsemfr="Lundi")+1)+$A7*7</f>
        <v>43561</v>
      </c>
      <c r="J16" s="15"/>
      <c r="K16" s="35">
        <f t="shared" ref="K16:K21" si="34">DATE(Anofr,MONTH($K$13),1)-WEEKDAY(DATE(Anofr,MONTH($K$13),1),(Débutsemfr="Lundi")+1)+$A7*7-6</f>
        <v>43584</v>
      </c>
      <c r="L16" s="36">
        <f t="shared" ref="L16:L21" si="35">DATE(Anofr,MONTH($K$13),1)-WEEKDAY(DATE(Anofr,MONTH($K$13),1),(Débutsemfr="Lundi")+1)+$A7*7-5</f>
        <v>43585</v>
      </c>
      <c r="M16" s="36">
        <f t="shared" ref="M16:M21" si="36">DATE(Anofr,MONTH($K$13),1)-WEEKDAY(DATE(Anofr,MONTH($K$13),1),(Débutsemfr="Lundi")+1)+$A7*7-4</f>
        <v>43586</v>
      </c>
      <c r="N16" s="36">
        <f t="shared" ref="N16:N21" si="37">DATE(Anofr,MONTH($K$13),1)-WEEKDAY(DATE(Anofr,MONTH($K$13),1),(Débutsemfr="Lundi")+1)+$A7*7-3</f>
        <v>43587</v>
      </c>
      <c r="O16" s="36">
        <f t="shared" ref="O16:O21" si="38">DATE(Anofr,MONTH($K$13),1)-WEEKDAY(DATE(Anofr,MONTH($K$13),1),(Débutsemfr="Lundi")+1)+$A7*7-2</f>
        <v>43588</v>
      </c>
      <c r="P16" s="37">
        <f t="shared" ref="P16:P21" si="39">DATE(Anofr,MONTH($K$13),1)-WEEKDAY(DATE(Anofr,MONTH($K$13),1),(Débutsemfr="Lundi")+1)+$A7*7-1</f>
        <v>43589</v>
      </c>
      <c r="Q16" s="38">
        <f t="shared" ref="Q16:Q21" si="40">DATE(Anofr,MONTH($K$13),1)-WEEKDAY(DATE(Anofr,MONTH($K$13),1),(Débutsemfr="Lundi")+1)+$A7*7</f>
        <v>43590</v>
      </c>
      <c r="R16" s="15"/>
      <c r="S16" s="35">
        <f t="shared" ref="S16:S21" si="41">DATE(Anofr,MONTH($S$13),1)-WEEKDAY(DATE(Anofr,MONTH($S$13),1),(Débutsemfr="Lundi")+1)+$A7*7-6</f>
        <v>43612</v>
      </c>
      <c r="T16" s="36">
        <f t="shared" ref="T16:T21" si="42">DATE(Anofr,MONTH($S$13),1)-WEEKDAY(DATE(Anofr,MONTH($S$13),1),(Débutsemfr="Lundi")+1)+$A7*7-5</f>
        <v>43613</v>
      </c>
      <c r="U16" s="36">
        <f t="shared" ref="U16:U21" si="43">DATE(Anofr,MONTH($S$13),1)-WEEKDAY(DATE(Anofr,MONTH($S$13),1),(Débutsemfr="Lundi")+1)+$A7*7-4</f>
        <v>43614</v>
      </c>
      <c r="V16" s="36">
        <f t="shared" ref="V16:V21" si="44">DATE(Anofr,MONTH($S$13),1)-WEEKDAY(DATE(Anofr,MONTH($S$13),1),(Débutsemfr="Lundi")+1)+$A7*7-3</f>
        <v>43615</v>
      </c>
      <c r="W16" s="36">
        <f t="shared" ref="W16:W21" si="45">DATE(Anofr,MONTH($S$13),1)-WEEKDAY(DATE(Anofr,MONTH($S$13),1),(Débutsemfr="Lundi")+1)+$A7*7-2</f>
        <v>43616</v>
      </c>
      <c r="X16" s="37">
        <f t="shared" ref="X16:X21" si="46">DATE(Anofr,MONTH($S$13),1)-WEEKDAY(DATE(Anofr,MONTH($S$13),1),(Débutsemfr="Lundi")+1)+$A7*7-1</f>
        <v>43617</v>
      </c>
      <c r="Y16" s="38">
        <f t="shared" ref="Y16:Y21" si="47">DATE(Anofr,MONTH($S$13),1)-WEEKDAY(DATE(Anofr,MONTH($S$13),1),(Débutsemfr="Lundi")+1)+$A7*7</f>
        <v>43618</v>
      </c>
      <c r="Z16" s="14"/>
      <c r="AA16" s="214"/>
    </row>
    <row r="17" spans="1:28" ht="20.6" customHeight="1" x14ac:dyDescent="0.3">
      <c r="A17" s="15"/>
      <c r="B17" s="8"/>
      <c r="C17" s="39">
        <f t="shared" si="27"/>
        <v>43562</v>
      </c>
      <c r="D17" s="40">
        <f t="shared" si="28"/>
        <v>43563</v>
      </c>
      <c r="E17" s="40">
        <f t="shared" si="29"/>
        <v>43564</v>
      </c>
      <c r="F17" s="40">
        <f t="shared" si="30"/>
        <v>43565</v>
      </c>
      <c r="G17" s="40">
        <f t="shared" si="31"/>
        <v>43566</v>
      </c>
      <c r="H17" s="41">
        <f t="shared" si="32"/>
        <v>43567</v>
      </c>
      <c r="I17" s="42">
        <f t="shared" si="33"/>
        <v>43568</v>
      </c>
      <c r="J17" s="15"/>
      <c r="K17" s="39">
        <f t="shared" si="34"/>
        <v>43591</v>
      </c>
      <c r="L17" s="40">
        <f t="shared" si="35"/>
        <v>43592</v>
      </c>
      <c r="M17" s="40">
        <f t="shared" si="36"/>
        <v>43593</v>
      </c>
      <c r="N17" s="40">
        <f t="shared" si="37"/>
        <v>43594</v>
      </c>
      <c r="O17" s="40">
        <f t="shared" si="38"/>
        <v>43595</v>
      </c>
      <c r="P17" s="41">
        <f t="shared" si="39"/>
        <v>43596</v>
      </c>
      <c r="Q17" s="42">
        <f t="shared" si="40"/>
        <v>43597</v>
      </c>
      <c r="R17" s="15"/>
      <c r="S17" s="39">
        <f t="shared" si="41"/>
        <v>43619</v>
      </c>
      <c r="T17" s="40">
        <f t="shared" si="42"/>
        <v>43620</v>
      </c>
      <c r="U17" s="40">
        <f t="shared" si="43"/>
        <v>43621</v>
      </c>
      <c r="V17" s="40">
        <f t="shared" si="44"/>
        <v>43622</v>
      </c>
      <c r="W17" s="40">
        <f t="shared" si="45"/>
        <v>43623</v>
      </c>
      <c r="X17" s="41">
        <f t="shared" si="46"/>
        <v>43624</v>
      </c>
      <c r="Y17" s="42">
        <f t="shared" si="47"/>
        <v>43625</v>
      </c>
      <c r="Z17" s="14"/>
      <c r="AA17" s="214"/>
    </row>
    <row r="18" spans="1:28" ht="20.6" customHeight="1" x14ac:dyDescent="0.3">
      <c r="A18" s="15"/>
      <c r="B18" s="8"/>
      <c r="C18" s="39">
        <f t="shared" si="27"/>
        <v>43569</v>
      </c>
      <c r="D18" s="40">
        <f t="shared" si="28"/>
        <v>43570</v>
      </c>
      <c r="E18" s="40">
        <f t="shared" si="29"/>
        <v>43571</v>
      </c>
      <c r="F18" s="40">
        <f t="shared" si="30"/>
        <v>43572</v>
      </c>
      <c r="G18" s="40">
        <f t="shared" si="31"/>
        <v>43573</v>
      </c>
      <c r="H18" s="41">
        <f t="shared" si="32"/>
        <v>43574</v>
      </c>
      <c r="I18" s="42">
        <f t="shared" si="33"/>
        <v>43575</v>
      </c>
      <c r="J18" s="15"/>
      <c r="K18" s="39">
        <f t="shared" si="34"/>
        <v>43598</v>
      </c>
      <c r="L18" s="40">
        <f t="shared" si="35"/>
        <v>43599</v>
      </c>
      <c r="M18" s="40">
        <f t="shared" si="36"/>
        <v>43600</v>
      </c>
      <c r="N18" s="40">
        <f t="shared" si="37"/>
        <v>43601</v>
      </c>
      <c r="O18" s="40">
        <f t="shared" si="38"/>
        <v>43602</v>
      </c>
      <c r="P18" s="41">
        <f t="shared" si="39"/>
        <v>43603</v>
      </c>
      <c r="Q18" s="42">
        <f t="shared" si="40"/>
        <v>43604</v>
      </c>
      <c r="R18" s="15"/>
      <c r="S18" s="39">
        <f t="shared" si="41"/>
        <v>43626</v>
      </c>
      <c r="T18" s="40">
        <f t="shared" si="42"/>
        <v>43627</v>
      </c>
      <c r="U18" s="40">
        <f t="shared" si="43"/>
        <v>43628</v>
      </c>
      <c r="V18" s="40">
        <f t="shared" si="44"/>
        <v>43629</v>
      </c>
      <c r="W18" s="40">
        <f t="shared" si="45"/>
        <v>43630</v>
      </c>
      <c r="X18" s="41">
        <f t="shared" si="46"/>
        <v>43631</v>
      </c>
      <c r="Y18" s="42">
        <f t="shared" si="47"/>
        <v>43632</v>
      </c>
      <c r="Z18" s="14"/>
      <c r="AA18" s="214"/>
    </row>
    <row r="19" spans="1:28" ht="20.6" customHeight="1" x14ac:dyDescent="0.3">
      <c r="A19" s="15"/>
      <c r="B19" s="8"/>
      <c r="C19" s="39">
        <f t="shared" si="27"/>
        <v>43576</v>
      </c>
      <c r="D19" s="40">
        <f t="shared" si="28"/>
        <v>43577</v>
      </c>
      <c r="E19" s="40">
        <f t="shared" si="29"/>
        <v>43578</v>
      </c>
      <c r="F19" s="40">
        <f t="shared" si="30"/>
        <v>43579</v>
      </c>
      <c r="G19" s="40">
        <f t="shared" si="31"/>
        <v>43580</v>
      </c>
      <c r="H19" s="41">
        <f t="shared" si="32"/>
        <v>43581</v>
      </c>
      <c r="I19" s="42">
        <f t="shared" si="33"/>
        <v>43582</v>
      </c>
      <c r="J19" s="15"/>
      <c r="K19" s="39">
        <f t="shared" si="34"/>
        <v>43605</v>
      </c>
      <c r="L19" s="40">
        <f t="shared" si="35"/>
        <v>43606</v>
      </c>
      <c r="M19" s="40">
        <f t="shared" si="36"/>
        <v>43607</v>
      </c>
      <c r="N19" s="40">
        <f t="shared" si="37"/>
        <v>43608</v>
      </c>
      <c r="O19" s="40">
        <f t="shared" si="38"/>
        <v>43609</v>
      </c>
      <c r="P19" s="41">
        <f t="shared" si="39"/>
        <v>43610</v>
      </c>
      <c r="Q19" s="42">
        <f t="shared" si="40"/>
        <v>43611</v>
      </c>
      <c r="R19" s="15"/>
      <c r="S19" s="39">
        <f t="shared" si="41"/>
        <v>43633</v>
      </c>
      <c r="T19" s="40">
        <f t="shared" si="42"/>
        <v>43634</v>
      </c>
      <c r="U19" s="40">
        <f t="shared" si="43"/>
        <v>43635</v>
      </c>
      <c r="V19" s="40">
        <f t="shared" si="44"/>
        <v>43636</v>
      </c>
      <c r="W19" s="40">
        <f t="shared" si="45"/>
        <v>43637</v>
      </c>
      <c r="X19" s="41">
        <f t="shared" si="46"/>
        <v>43638</v>
      </c>
      <c r="Y19" s="42">
        <f t="shared" si="47"/>
        <v>43639</v>
      </c>
      <c r="Z19" s="14"/>
      <c r="AA19" s="214"/>
    </row>
    <row r="20" spans="1:28" ht="20.6" customHeight="1" x14ac:dyDescent="0.3">
      <c r="A20" s="15"/>
      <c r="B20" s="8"/>
      <c r="C20" s="39">
        <f t="shared" si="27"/>
        <v>43583</v>
      </c>
      <c r="D20" s="40">
        <f t="shared" si="28"/>
        <v>43584</v>
      </c>
      <c r="E20" s="40">
        <f t="shared" si="29"/>
        <v>43585</v>
      </c>
      <c r="F20" s="40">
        <f t="shared" si="30"/>
        <v>43586</v>
      </c>
      <c r="G20" s="40">
        <f t="shared" si="31"/>
        <v>43587</v>
      </c>
      <c r="H20" s="41">
        <f t="shared" si="32"/>
        <v>43588</v>
      </c>
      <c r="I20" s="42">
        <f t="shared" si="33"/>
        <v>43589</v>
      </c>
      <c r="J20" s="15"/>
      <c r="K20" s="39">
        <f t="shared" si="34"/>
        <v>43612</v>
      </c>
      <c r="L20" s="40">
        <f t="shared" si="35"/>
        <v>43613</v>
      </c>
      <c r="M20" s="40">
        <f t="shared" si="36"/>
        <v>43614</v>
      </c>
      <c r="N20" s="40">
        <f t="shared" si="37"/>
        <v>43615</v>
      </c>
      <c r="O20" s="40">
        <f t="shared" si="38"/>
        <v>43616</v>
      </c>
      <c r="P20" s="41">
        <f t="shared" si="39"/>
        <v>43617</v>
      </c>
      <c r="Q20" s="42">
        <f t="shared" si="40"/>
        <v>43618</v>
      </c>
      <c r="R20" s="15"/>
      <c r="S20" s="39">
        <f t="shared" si="41"/>
        <v>43640</v>
      </c>
      <c r="T20" s="40">
        <f t="shared" si="42"/>
        <v>43641</v>
      </c>
      <c r="U20" s="40">
        <f t="shared" si="43"/>
        <v>43642</v>
      </c>
      <c r="V20" s="40">
        <f t="shared" si="44"/>
        <v>43643</v>
      </c>
      <c r="W20" s="40">
        <f t="shared" si="45"/>
        <v>43644</v>
      </c>
      <c r="X20" s="41">
        <f t="shared" si="46"/>
        <v>43645</v>
      </c>
      <c r="Y20" s="42">
        <f t="shared" si="47"/>
        <v>43646</v>
      </c>
      <c r="Z20" s="14"/>
      <c r="AA20" s="214"/>
    </row>
    <row r="21" spans="1:28" ht="20.6" customHeight="1" thickBot="1" x14ac:dyDescent="0.35">
      <c r="A21" s="15"/>
      <c r="B21" s="8"/>
      <c r="C21" s="45">
        <f t="shared" si="27"/>
        <v>43590</v>
      </c>
      <c r="D21" s="46">
        <f t="shared" si="28"/>
        <v>43591</v>
      </c>
      <c r="E21" s="46">
        <f t="shared" si="29"/>
        <v>43592</v>
      </c>
      <c r="F21" s="46">
        <f t="shared" si="30"/>
        <v>43593</v>
      </c>
      <c r="G21" s="46">
        <f t="shared" si="31"/>
        <v>43594</v>
      </c>
      <c r="H21" s="47">
        <f t="shared" si="32"/>
        <v>43595</v>
      </c>
      <c r="I21" s="48">
        <f t="shared" si="33"/>
        <v>43596</v>
      </c>
      <c r="J21" s="15"/>
      <c r="K21" s="45">
        <f t="shared" si="34"/>
        <v>43619</v>
      </c>
      <c r="L21" s="46">
        <f t="shared" si="35"/>
        <v>43620</v>
      </c>
      <c r="M21" s="46">
        <f t="shared" si="36"/>
        <v>43621</v>
      </c>
      <c r="N21" s="46">
        <f t="shared" si="37"/>
        <v>43622</v>
      </c>
      <c r="O21" s="46">
        <f t="shared" si="38"/>
        <v>43623</v>
      </c>
      <c r="P21" s="47">
        <f t="shared" si="39"/>
        <v>43624</v>
      </c>
      <c r="Q21" s="48">
        <f t="shared" si="40"/>
        <v>43625</v>
      </c>
      <c r="R21" s="15"/>
      <c r="S21" s="45">
        <f t="shared" si="41"/>
        <v>43647</v>
      </c>
      <c r="T21" s="46">
        <f t="shared" si="42"/>
        <v>43648</v>
      </c>
      <c r="U21" s="46">
        <f t="shared" si="43"/>
        <v>43649</v>
      </c>
      <c r="V21" s="46">
        <f t="shared" si="44"/>
        <v>43650</v>
      </c>
      <c r="W21" s="46">
        <f t="shared" si="45"/>
        <v>43651</v>
      </c>
      <c r="X21" s="47">
        <f t="shared" si="46"/>
        <v>43652</v>
      </c>
      <c r="Y21" s="48">
        <f t="shared" si="47"/>
        <v>43653</v>
      </c>
      <c r="Z21" s="14"/>
      <c r="AA21" s="214"/>
    </row>
    <row r="22" spans="1:28" ht="13.35" customHeight="1" thickBot="1" x14ac:dyDescent="0.35">
      <c r="A22" s="15"/>
      <c r="B22" s="8"/>
      <c r="C22" s="215">
        <f>DATE(Anofr,7,1)</f>
        <v>43647</v>
      </c>
      <c r="D22" s="215"/>
      <c r="E22" s="215"/>
      <c r="F22" s="215"/>
      <c r="G22" s="215"/>
      <c r="H22" s="215"/>
      <c r="I22" s="215"/>
      <c r="J22" s="15"/>
      <c r="K22" s="215">
        <f>DATE(Anofr,8,1)</f>
        <v>43678</v>
      </c>
      <c r="L22" s="215"/>
      <c r="M22" s="215"/>
      <c r="N22" s="215"/>
      <c r="O22" s="215"/>
      <c r="P22" s="215"/>
      <c r="Q22" s="215"/>
      <c r="R22" s="15"/>
      <c r="S22" s="215">
        <f>DATE(Anofr,9,1)</f>
        <v>43709</v>
      </c>
      <c r="T22" s="215"/>
      <c r="U22" s="215"/>
      <c r="V22" s="215"/>
      <c r="W22" s="215"/>
      <c r="X22" s="215"/>
      <c r="Y22" s="215"/>
      <c r="Z22" s="7"/>
      <c r="AA22" s="214"/>
    </row>
    <row r="23" spans="1:28" s="20" customFormat="1" ht="20.6" customHeight="1" thickBot="1" x14ac:dyDescent="0.35">
      <c r="A23" s="10"/>
      <c r="B23" s="17"/>
      <c r="C23" s="216" t="str">
        <f>CHOOSE(MONTH(C4),"JUILLET")</f>
        <v>JUILLET</v>
      </c>
      <c r="D23" s="217"/>
      <c r="E23" s="217"/>
      <c r="F23" s="217"/>
      <c r="G23" s="217"/>
      <c r="H23" s="217"/>
      <c r="I23" s="218"/>
      <c r="J23" s="10"/>
      <c r="K23" s="216" t="str">
        <f>CHOOSE(MONTH(C4),"AOÛT")</f>
        <v>AOÛT</v>
      </c>
      <c r="L23" s="217"/>
      <c r="M23" s="217"/>
      <c r="N23" s="217"/>
      <c r="O23" s="217"/>
      <c r="P23" s="217"/>
      <c r="Q23" s="218"/>
      <c r="R23" s="10"/>
      <c r="S23" s="219" t="str">
        <f>CHOOSE(MONTH(C4),"SEPTEMBRE")</f>
        <v>SEPTEMBRE</v>
      </c>
      <c r="T23" s="220"/>
      <c r="U23" s="220"/>
      <c r="V23" s="220"/>
      <c r="W23" s="220"/>
      <c r="X23" s="220"/>
      <c r="Y23" s="218"/>
      <c r="Z23" s="19"/>
      <c r="AA23" s="214"/>
    </row>
    <row r="24" spans="1:28" s="20" customFormat="1" ht="16.350000000000001" customHeight="1" thickBot="1" x14ac:dyDescent="0.35">
      <c r="A24" s="10"/>
      <c r="B24" s="51"/>
      <c r="C24" s="74" t="str">
        <f t="shared" ref="C24:I24" si="48">CHOOSE(COLUMN(A$1)+(Débutsemfr="Lundi"),"Di","Lu","Ma","Me","Je","Ve","Sa","Di")</f>
        <v>Lu</v>
      </c>
      <c r="D24" s="74" t="str">
        <f t="shared" si="48"/>
        <v>Ma</v>
      </c>
      <c r="E24" s="74" t="str">
        <f t="shared" si="48"/>
        <v>Me</v>
      </c>
      <c r="F24" s="74" t="str">
        <f t="shared" si="48"/>
        <v>Je</v>
      </c>
      <c r="G24" s="74" t="str">
        <f t="shared" si="48"/>
        <v>Ve</v>
      </c>
      <c r="H24" s="80" t="str">
        <f t="shared" si="48"/>
        <v>Sa</v>
      </c>
      <c r="I24" s="80" t="str">
        <f t="shared" si="48"/>
        <v>Di</v>
      </c>
      <c r="J24" s="27"/>
      <c r="K24" s="74" t="str">
        <f t="shared" ref="K24:Q24" si="49">CHOOSE(COLUMN(A$1)+(Débutsemfr="Lundi"),"Di","Lu","Ma","Me","Je","Ve","Sa","Di")</f>
        <v>Lu</v>
      </c>
      <c r="L24" s="74" t="str">
        <f t="shared" si="49"/>
        <v>Ma</v>
      </c>
      <c r="M24" s="74" t="str">
        <f t="shared" si="49"/>
        <v>Me</v>
      </c>
      <c r="N24" s="74" t="str">
        <f t="shared" si="49"/>
        <v>Je</v>
      </c>
      <c r="O24" s="74" t="str">
        <f t="shared" si="49"/>
        <v>Ve</v>
      </c>
      <c r="P24" s="80" t="str">
        <f t="shared" si="49"/>
        <v>Sa</v>
      </c>
      <c r="Q24" s="119" t="str">
        <f t="shared" si="49"/>
        <v>Di</v>
      </c>
      <c r="R24" s="10"/>
      <c r="S24" s="76" t="str">
        <f t="shared" ref="S24:Y24" si="50">CHOOSE(COLUMN(A$1)+(Débutsemfr="Lundi"),"Di","Lu","Ma","Me","Je","Ve","Sa","Di")</f>
        <v>Lu</v>
      </c>
      <c r="T24" s="76" t="str">
        <f t="shared" si="50"/>
        <v>Ma</v>
      </c>
      <c r="U24" s="76" t="str">
        <f t="shared" si="50"/>
        <v>Me</v>
      </c>
      <c r="V24" s="76" t="str">
        <f t="shared" si="50"/>
        <v>Je</v>
      </c>
      <c r="W24" s="76" t="str">
        <f t="shared" si="50"/>
        <v>Ve</v>
      </c>
      <c r="X24" s="117" t="str">
        <f t="shared" si="50"/>
        <v>Sa</v>
      </c>
      <c r="Y24" s="117" t="str">
        <f t="shared" si="50"/>
        <v>Di</v>
      </c>
      <c r="Z24" s="57"/>
      <c r="AA24" s="214"/>
    </row>
    <row r="25" spans="1:28" ht="20.6" customHeight="1" x14ac:dyDescent="0.3">
      <c r="A25" s="15">
        <v>1</v>
      </c>
      <c r="B25" s="8"/>
      <c r="C25" s="35">
        <f t="shared" ref="C25:C30" si="51">DATE(Anofr,MONTH($C$22),1)-WEEKDAY(DATE(Anofr,MONTH($C$22),1),(Débutsemfr="Lundi")+1)+$A7*7-6</f>
        <v>43647</v>
      </c>
      <c r="D25" s="36">
        <f t="shared" ref="D25:D30" si="52">DATE(Anofr,MONTH($C$22),1)-WEEKDAY(DATE(Anofr,MONTH($C$22),1),(Débutsemfr="Lundi")+1)+$A7*7-5</f>
        <v>43648</v>
      </c>
      <c r="E25" s="36">
        <f t="shared" ref="E25:E30" si="53">DATE(Anofr,MONTH($C$22),1)-WEEKDAY(DATE(Anofr,MONTH($C$22),1),(Débutsemfr="Lundi")+1)+$A7*7-4</f>
        <v>43649</v>
      </c>
      <c r="F25" s="36">
        <f t="shared" ref="F25:F30" si="54">DATE(Anofr,MONTH($C$22),1)-WEEKDAY(DATE(Anofr,MONTH($C$22),1),(Débutsemfr="Lundi")+1)+$A7*7-3</f>
        <v>43650</v>
      </c>
      <c r="G25" s="36">
        <f t="shared" ref="G25:G30" si="55">DATE(Anofr,MONTH($C$22),1)-WEEKDAY(DATE(Anofr,MONTH($C$22),1),(Débutsemfr="Lundi")+1)+$A7*7-2</f>
        <v>43651</v>
      </c>
      <c r="H25" s="37">
        <f t="shared" ref="H25:H30" si="56">DATE(Anofr,MONTH($C$22),1)-WEEKDAY(DATE(Anofr,MONTH($C$22),1),(Débutsemfr="Lundi")+1)+$A7*7-1</f>
        <v>43652</v>
      </c>
      <c r="I25" s="38">
        <f t="shared" ref="I25:I30" si="57">DATE(Anofr,MONTH($C$22),1)-WEEKDAY(DATE(Anofr,MONTH($C$22),1),(Débutsemfr="Lundi")+1)+$A7*7</f>
        <v>43653</v>
      </c>
      <c r="J25" s="15"/>
      <c r="K25" s="35">
        <f t="shared" ref="K25:K30" si="58">DATE(Anofr,MONTH($K$22),1)-WEEKDAY(DATE(Anofr,MONTH($K$22),1),(Débutsemfr="Lundi")+1)+$A7*7-6</f>
        <v>43675</v>
      </c>
      <c r="L25" s="36">
        <f t="shared" ref="L25:L30" si="59">DATE(Anofr,MONTH($K$22),1)-WEEKDAY(DATE(Anofr,MONTH($K$22),1),(Débutsemfr="Lundi")+1)+$A7*7-5</f>
        <v>43676</v>
      </c>
      <c r="M25" s="36">
        <f t="shared" ref="M25:M30" si="60">DATE(Anofr,MONTH($K$22),1)-WEEKDAY(DATE(Anofr,MONTH($K$22),1),(Débutsemfr="Lundi")+1)+$A7*7-4</f>
        <v>43677</v>
      </c>
      <c r="N25" s="36">
        <f t="shared" ref="N25:N30" si="61">DATE(Anofr,MONTH($K$22),1)-WEEKDAY(DATE(Anofr,MONTH($K$22),1),(Débutsemfr="Lundi")+1)+$A7*7-3</f>
        <v>43678</v>
      </c>
      <c r="O25" s="36">
        <f t="shared" ref="O25:O30" si="62">DATE(Anofr,MONTH($K$22),1)-WEEKDAY(DATE(Anofr,MONTH($K$22),1),(Débutsemfr="Lundi")+1)+$A7*7-2</f>
        <v>43679</v>
      </c>
      <c r="P25" s="37">
        <f t="shared" ref="P25:P30" si="63">DATE(Anofr,MONTH($K$22),1)-WEEKDAY(DATE(Anofr,MONTH($K$22),1),(Débutsemfr="Lundi")+1)+$A7*7-1</f>
        <v>43680</v>
      </c>
      <c r="Q25" s="38">
        <f t="shared" ref="Q25:Q30" si="64">DATE(Anofr,MONTH($K$22),1)-WEEKDAY(DATE(Anofr,MONTH($K$22),1),(Débutsemfr="Lundi")+1)+$A7*7</f>
        <v>43681</v>
      </c>
      <c r="R25" s="15"/>
      <c r="S25" s="35">
        <f t="shared" ref="S25:S30" si="65">DATE(Anofr,MONTH($S$22),1)-WEEKDAY(DATE(Anofr,MONTH($S$22),1),(Débutsemfr="Lundi")+1)+$A7*7-6</f>
        <v>43703</v>
      </c>
      <c r="T25" s="36">
        <f t="shared" ref="T25:T30" si="66">DATE(Anofr,MONTH($S$22),1)-WEEKDAY(DATE(Anofr,MONTH($S$22),1),(Débutsemfr="Lundi")+1)+$A7*7-5</f>
        <v>43704</v>
      </c>
      <c r="U25" s="36">
        <f t="shared" ref="U25:U30" si="67">DATE(Anofr,MONTH($S$22),1)-WEEKDAY(DATE(Anofr,MONTH($S$22),1),(Débutsemfr="Lundi")+1)+$A7*7-4</f>
        <v>43705</v>
      </c>
      <c r="V25" s="36">
        <f t="shared" ref="V25:V30" si="68">DATE(Anofr,MONTH($S$22),1)-WEEKDAY(DATE(Anofr,MONTH($S$22),1),(Débutsemfr="Lundi")+1)+$A7*7-3</f>
        <v>43706</v>
      </c>
      <c r="W25" s="36">
        <f t="shared" ref="W25:W30" si="69">DATE(Anofr,MONTH($S$22),1)-WEEKDAY(DATE(Anofr,MONTH($S$22),1),(Débutsemfr="Lundi")+1)+$A7*7-2</f>
        <v>43707</v>
      </c>
      <c r="X25" s="37">
        <f t="shared" ref="X25:X30" si="70">DATE(Anofr,MONTH($S$22),1)-WEEKDAY(DATE(Anofr,MONTH($S$22),1),(Débutsemfr="Lundi")+1)+$A7*7-1</f>
        <v>43708</v>
      </c>
      <c r="Y25" s="38">
        <f t="shared" ref="Y25:Y30" si="71">DATE(Anofr,MONTH($S$22),1)-WEEKDAY(DATE(Anofr,MONTH($S$22),1),(Débutsemfr="Lundi")+1)+$A7*7</f>
        <v>43709</v>
      </c>
      <c r="Z25" s="14"/>
      <c r="AA25" s="214"/>
    </row>
    <row r="26" spans="1:28" ht="20.6" customHeight="1" x14ac:dyDescent="0.3">
      <c r="A26" s="15">
        <v>2</v>
      </c>
      <c r="B26" s="8"/>
      <c r="C26" s="39">
        <f t="shared" si="51"/>
        <v>43654</v>
      </c>
      <c r="D26" s="40">
        <f t="shared" si="52"/>
        <v>43655</v>
      </c>
      <c r="E26" s="40">
        <f t="shared" si="53"/>
        <v>43656</v>
      </c>
      <c r="F26" s="40">
        <f t="shared" si="54"/>
        <v>43657</v>
      </c>
      <c r="G26" s="40">
        <f t="shared" si="55"/>
        <v>43658</v>
      </c>
      <c r="H26" s="41">
        <f t="shared" si="56"/>
        <v>43659</v>
      </c>
      <c r="I26" s="42">
        <f t="shared" si="57"/>
        <v>43660</v>
      </c>
      <c r="J26" s="15"/>
      <c r="K26" s="39">
        <f t="shared" si="58"/>
        <v>43682</v>
      </c>
      <c r="L26" s="40">
        <f t="shared" si="59"/>
        <v>43683</v>
      </c>
      <c r="M26" s="40">
        <f t="shared" si="60"/>
        <v>43684</v>
      </c>
      <c r="N26" s="40">
        <f t="shared" si="61"/>
        <v>43685</v>
      </c>
      <c r="O26" s="40">
        <f t="shared" si="62"/>
        <v>43686</v>
      </c>
      <c r="P26" s="41">
        <f t="shared" si="63"/>
        <v>43687</v>
      </c>
      <c r="Q26" s="42">
        <f t="shared" si="64"/>
        <v>43688</v>
      </c>
      <c r="R26" s="15"/>
      <c r="S26" s="39">
        <f t="shared" si="65"/>
        <v>43710</v>
      </c>
      <c r="T26" s="40">
        <f t="shared" si="66"/>
        <v>43711</v>
      </c>
      <c r="U26" s="40">
        <f t="shared" si="67"/>
        <v>43712</v>
      </c>
      <c r="V26" s="40">
        <f t="shared" si="68"/>
        <v>43713</v>
      </c>
      <c r="W26" s="40">
        <f t="shared" si="69"/>
        <v>43714</v>
      </c>
      <c r="X26" s="41">
        <f t="shared" si="70"/>
        <v>43715</v>
      </c>
      <c r="Y26" s="42">
        <f t="shared" si="71"/>
        <v>43716</v>
      </c>
      <c r="Z26" s="14"/>
      <c r="AA26" s="214"/>
    </row>
    <row r="27" spans="1:28" ht="20.6" customHeight="1" x14ac:dyDescent="0.3">
      <c r="A27" s="15">
        <v>3</v>
      </c>
      <c r="B27" s="8"/>
      <c r="C27" s="39">
        <f t="shared" si="51"/>
        <v>43661</v>
      </c>
      <c r="D27" s="40">
        <f t="shared" si="52"/>
        <v>43662</v>
      </c>
      <c r="E27" s="40">
        <f t="shared" si="53"/>
        <v>43663</v>
      </c>
      <c r="F27" s="40">
        <f t="shared" si="54"/>
        <v>43664</v>
      </c>
      <c r="G27" s="40">
        <f t="shared" si="55"/>
        <v>43665</v>
      </c>
      <c r="H27" s="41">
        <f t="shared" si="56"/>
        <v>43666</v>
      </c>
      <c r="I27" s="42">
        <f t="shared" si="57"/>
        <v>43667</v>
      </c>
      <c r="J27" s="15"/>
      <c r="K27" s="39">
        <f t="shared" si="58"/>
        <v>43689</v>
      </c>
      <c r="L27" s="40">
        <f t="shared" si="59"/>
        <v>43690</v>
      </c>
      <c r="M27" s="40">
        <f t="shared" si="60"/>
        <v>43691</v>
      </c>
      <c r="N27" s="40">
        <f t="shared" si="61"/>
        <v>43692</v>
      </c>
      <c r="O27" s="40">
        <f t="shared" si="62"/>
        <v>43693</v>
      </c>
      <c r="P27" s="41">
        <f t="shared" si="63"/>
        <v>43694</v>
      </c>
      <c r="Q27" s="42">
        <f t="shared" si="64"/>
        <v>43695</v>
      </c>
      <c r="R27" s="15"/>
      <c r="S27" s="39">
        <f t="shared" si="65"/>
        <v>43717</v>
      </c>
      <c r="T27" s="40">
        <f t="shared" si="66"/>
        <v>43718</v>
      </c>
      <c r="U27" s="40">
        <f t="shared" si="67"/>
        <v>43719</v>
      </c>
      <c r="V27" s="40">
        <f t="shared" si="68"/>
        <v>43720</v>
      </c>
      <c r="W27" s="40">
        <f t="shared" si="69"/>
        <v>43721</v>
      </c>
      <c r="X27" s="41">
        <f t="shared" si="70"/>
        <v>43722</v>
      </c>
      <c r="Y27" s="42">
        <f t="shared" si="71"/>
        <v>43723</v>
      </c>
      <c r="Z27" s="14"/>
      <c r="AA27" s="214"/>
    </row>
    <row r="28" spans="1:28" ht="20.6" customHeight="1" x14ac:dyDescent="0.3">
      <c r="A28" s="15">
        <v>4</v>
      </c>
      <c r="B28" s="8"/>
      <c r="C28" s="39">
        <f t="shared" si="51"/>
        <v>43668</v>
      </c>
      <c r="D28" s="40">
        <f t="shared" si="52"/>
        <v>43669</v>
      </c>
      <c r="E28" s="40">
        <f t="shared" si="53"/>
        <v>43670</v>
      </c>
      <c r="F28" s="40">
        <f t="shared" si="54"/>
        <v>43671</v>
      </c>
      <c r="G28" s="40">
        <f t="shared" si="55"/>
        <v>43672</v>
      </c>
      <c r="H28" s="41">
        <f t="shared" si="56"/>
        <v>43673</v>
      </c>
      <c r="I28" s="42">
        <f t="shared" si="57"/>
        <v>43674</v>
      </c>
      <c r="J28" s="15"/>
      <c r="K28" s="39">
        <f t="shared" si="58"/>
        <v>43696</v>
      </c>
      <c r="L28" s="40">
        <f t="shared" si="59"/>
        <v>43697</v>
      </c>
      <c r="M28" s="40">
        <f t="shared" si="60"/>
        <v>43698</v>
      </c>
      <c r="N28" s="40">
        <f t="shared" si="61"/>
        <v>43699</v>
      </c>
      <c r="O28" s="40">
        <f t="shared" si="62"/>
        <v>43700</v>
      </c>
      <c r="P28" s="41">
        <f t="shared" si="63"/>
        <v>43701</v>
      </c>
      <c r="Q28" s="42">
        <f t="shared" si="64"/>
        <v>43702</v>
      </c>
      <c r="R28" s="15"/>
      <c r="S28" s="39">
        <f t="shared" si="65"/>
        <v>43724</v>
      </c>
      <c r="T28" s="40">
        <f t="shared" si="66"/>
        <v>43725</v>
      </c>
      <c r="U28" s="40">
        <f t="shared" si="67"/>
        <v>43726</v>
      </c>
      <c r="V28" s="40">
        <f t="shared" si="68"/>
        <v>43727</v>
      </c>
      <c r="W28" s="40">
        <f t="shared" si="69"/>
        <v>43728</v>
      </c>
      <c r="X28" s="41">
        <f t="shared" si="70"/>
        <v>43729</v>
      </c>
      <c r="Y28" s="42">
        <f t="shared" si="71"/>
        <v>43730</v>
      </c>
      <c r="Z28" s="14"/>
      <c r="AA28" s="214"/>
    </row>
    <row r="29" spans="1:28" ht="20.6" customHeight="1" x14ac:dyDescent="0.3">
      <c r="A29" s="15">
        <v>5</v>
      </c>
      <c r="B29" s="8"/>
      <c r="C29" s="39">
        <f t="shared" si="51"/>
        <v>43675</v>
      </c>
      <c r="D29" s="40">
        <f t="shared" si="52"/>
        <v>43676</v>
      </c>
      <c r="E29" s="40">
        <f t="shared" si="53"/>
        <v>43677</v>
      </c>
      <c r="F29" s="40">
        <f t="shared" si="54"/>
        <v>43678</v>
      </c>
      <c r="G29" s="40">
        <f t="shared" si="55"/>
        <v>43679</v>
      </c>
      <c r="H29" s="41">
        <f t="shared" si="56"/>
        <v>43680</v>
      </c>
      <c r="I29" s="42">
        <f t="shared" si="57"/>
        <v>43681</v>
      </c>
      <c r="J29" s="15"/>
      <c r="K29" s="39">
        <f t="shared" si="58"/>
        <v>43703</v>
      </c>
      <c r="L29" s="40">
        <f t="shared" si="59"/>
        <v>43704</v>
      </c>
      <c r="M29" s="40">
        <f t="shared" si="60"/>
        <v>43705</v>
      </c>
      <c r="N29" s="40">
        <f t="shared" si="61"/>
        <v>43706</v>
      </c>
      <c r="O29" s="40">
        <f t="shared" si="62"/>
        <v>43707</v>
      </c>
      <c r="P29" s="41">
        <f t="shared" si="63"/>
        <v>43708</v>
      </c>
      <c r="Q29" s="42">
        <f t="shared" si="64"/>
        <v>43709</v>
      </c>
      <c r="R29" s="15"/>
      <c r="S29" s="39">
        <f t="shared" si="65"/>
        <v>43731</v>
      </c>
      <c r="T29" s="40">
        <f t="shared" si="66"/>
        <v>43732</v>
      </c>
      <c r="U29" s="40">
        <f t="shared" si="67"/>
        <v>43733</v>
      </c>
      <c r="V29" s="40">
        <f t="shared" si="68"/>
        <v>43734</v>
      </c>
      <c r="W29" s="40">
        <f t="shared" si="69"/>
        <v>43735</v>
      </c>
      <c r="X29" s="41">
        <f t="shared" si="70"/>
        <v>43736</v>
      </c>
      <c r="Y29" s="42">
        <f t="shared" si="71"/>
        <v>43737</v>
      </c>
      <c r="Z29" s="14"/>
      <c r="AA29" s="214"/>
    </row>
    <row r="30" spans="1:28" ht="20.6" customHeight="1" thickBot="1" x14ac:dyDescent="0.35">
      <c r="A30" s="15">
        <v>6</v>
      </c>
      <c r="B30" s="8"/>
      <c r="C30" s="45">
        <f t="shared" si="51"/>
        <v>43682</v>
      </c>
      <c r="D30" s="46">
        <f t="shared" si="52"/>
        <v>43683</v>
      </c>
      <c r="E30" s="46">
        <f t="shared" si="53"/>
        <v>43684</v>
      </c>
      <c r="F30" s="46">
        <f t="shared" si="54"/>
        <v>43685</v>
      </c>
      <c r="G30" s="46">
        <f t="shared" si="55"/>
        <v>43686</v>
      </c>
      <c r="H30" s="47">
        <f t="shared" si="56"/>
        <v>43687</v>
      </c>
      <c r="I30" s="48">
        <f t="shared" si="57"/>
        <v>43688</v>
      </c>
      <c r="J30" s="15"/>
      <c r="K30" s="45">
        <f t="shared" si="58"/>
        <v>43710</v>
      </c>
      <c r="L30" s="46">
        <f t="shared" si="59"/>
        <v>43711</v>
      </c>
      <c r="M30" s="46">
        <f t="shared" si="60"/>
        <v>43712</v>
      </c>
      <c r="N30" s="46">
        <f t="shared" si="61"/>
        <v>43713</v>
      </c>
      <c r="O30" s="46">
        <f t="shared" si="62"/>
        <v>43714</v>
      </c>
      <c r="P30" s="47">
        <f t="shared" si="63"/>
        <v>43715</v>
      </c>
      <c r="Q30" s="48">
        <f t="shared" si="64"/>
        <v>43716</v>
      </c>
      <c r="R30" s="15"/>
      <c r="S30" s="45">
        <f t="shared" si="65"/>
        <v>43738</v>
      </c>
      <c r="T30" s="46">
        <f t="shared" si="66"/>
        <v>43739</v>
      </c>
      <c r="U30" s="46">
        <f t="shared" si="67"/>
        <v>43740</v>
      </c>
      <c r="V30" s="46">
        <f t="shared" si="68"/>
        <v>43741</v>
      </c>
      <c r="W30" s="46">
        <f t="shared" si="69"/>
        <v>43742</v>
      </c>
      <c r="X30" s="47">
        <f t="shared" si="70"/>
        <v>43743</v>
      </c>
      <c r="Y30" s="48">
        <f t="shared" si="71"/>
        <v>43744</v>
      </c>
      <c r="Z30" s="14"/>
      <c r="AA30" s="214"/>
    </row>
    <row r="31" spans="1:28" ht="13.35" customHeight="1" thickBot="1" x14ac:dyDescent="0.35">
      <c r="A31" s="15"/>
      <c r="B31" s="8"/>
      <c r="C31" s="215">
        <f>DATE(Anofr,10,1)</f>
        <v>43739</v>
      </c>
      <c r="D31" s="215"/>
      <c r="E31" s="215"/>
      <c r="F31" s="215"/>
      <c r="G31" s="215"/>
      <c r="H31" s="215"/>
      <c r="I31" s="215"/>
      <c r="J31" s="15"/>
      <c r="K31" s="215">
        <f>DATE(Anofr,11,1)</f>
        <v>43770</v>
      </c>
      <c r="L31" s="215"/>
      <c r="M31" s="215"/>
      <c r="N31" s="215"/>
      <c r="O31" s="215"/>
      <c r="P31" s="215"/>
      <c r="Q31" s="215"/>
      <c r="R31" s="15"/>
      <c r="S31" s="215">
        <f>DATE(Anofr,12,1)</f>
        <v>43800</v>
      </c>
      <c r="T31" s="215"/>
      <c r="U31" s="215"/>
      <c r="V31" s="215"/>
      <c r="W31" s="215"/>
      <c r="X31" s="215"/>
      <c r="Y31" s="215"/>
      <c r="Z31" s="7"/>
      <c r="AA31" s="214"/>
    </row>
    <row r="32" spans="1:28" s="20" customFormat="1" ht="20.6" customHeight="1" thickBot="1" x14ac:dyDescent="0.35">
      <c r="A32" s="10"/>
      <c r="B32" s="17"/>
      <c r="C32" s="216" t="str">
        <f>CHOOSE(MONTH(C4),"OCTOBRE")</f>
        <v>OCTOBRE</v>
      </c>
      <c r="D32" s="217"/>
      <c r="E32" s="217"/>
      <c r="F32" s="217"/>
      <c r="G32" s="217"/>
      <c r="H32" s="217"/>
      <c r="I32" s="218"/>
      <c r="J32" s="10"/>
      <c r="K32" s="216" t="str">
        <f>CHOOSE(MONTH(C4),"NOVEMBRE")</f>
        <v>NOVEMBRE</v>
      </c>
      <c r="L32" s="217"/>
      <c r="M32" s="217"/>
      <c r="N32" s="217"/>
      <c r="O32" s="217"/>
      <c r="P32" s="217"/>
      <c r="Q32" s="218"/>
      <c r="R32" s="10"/>
      <c r="S32" s="230" t="str">
        <f>CHOOSE(MONTH(C4),"DÉCEMBRE")</f>
        <v>DÉCEMBRE</v>
      </c>
      <c r="T32" s="231"/>
      <c r="U32" s="231"/>
      <c r="V32" s="231"/>
      <c r="W32" s="231"/>
      <c r="X32" s="231"/>
      <c r="Y32" s="232"/>
      <c r="Z32" s="19"/>
      <c r="AA32" s="214"/>
      <c r="AB32" s="124"/>
    </row>
    <row r="33" spans="1:27" s="20" customFormat="1" ht="16.350000000000001" customHeight="1" thickBot="1" x14ac:dyDescent="0.35">
      <c r="A33" s="10"/>
      <c r="B33" s="51"/>
      <c r="C33" s="74" t="str">
        <f t="shared" ref="C33:I33" si="72">CHOOSE(COLUMN(A$1)+(Débutsemfr="Lundi"),"Di","Lu","Ma","Me","Je","Ve","Sa","Di")</f>
        <v>Lu</v>
      </c>
      <c r="D33" s="74" t="str">
        <f t="shared" si="72"/>
        <v>Ma</v>
      </c>
      <c r="E33" s="74" t="str">
        <f t="shared" si="72"/>
        <v>Me</v>
      </c>
      <c r="F33" s="74" t="str">
        <f t="shared" si="72"/>
        <v>Je</v>
      </c>
      <c r="G33" s="74" t="str">
        <f t="shared" si="72"/>
        <v>Ve</v>
      </c>
      <c r="H33" s="80" t="str">
        <f t="shared" si="72"/>
        <v>Sa</v>
      </c>
      <c r="I33" s="80" t="str">
        <f t="shared" si="72"/>
        <v>Di</v>
      </c>
      <c r="J33" s="27"/>
      <c r="K33" s="74" t="str">
        <f t="shared" ref="K33:Q33" si="73">CHOOSE(COLUMN(A$1)+(Débutsemfr="Lundi"),"Di","Lu","Ma","Me","Je","Ve","Sa","Di")</f>
        <v>Lu</v>
      </c>
      <c r="L33" s="74" t="str">
        <f t="shared" si="73"/>
        <v>Ma</v>
      </c>
      <c r="M33" s="74" t="str">
        <f t="shared" si="73"/>
        <v>Me</v>
      </c>
      <c r="N33" s="74" t="str">
        <f t="shared" si="73"/>
        <v>Je</v>
      </c>
      <c r="O33" s="74" t="str">
        <f t="shared" si="73"/>
        <v>Ve</v>
      </c>
      <c r="P33" s="80" t="str">
        <f t="shared" si="73"/>
        <v>Sa</v>
      </c>
      <c r="Q33" s="80" t="str">
        <f t="shared" si="73"/>
        <v>Di</v>
      </c>
      <c r="R33" s="27"/>
      <c r="S33" s="74" t="str">
        <f t="shared" ref="S33:Y33" si="74">CHOOSE(COLUMN(A$1)+(Débutsemfr="Lundi"),"Di","Lu","Ma","Me","Je","Ve","Sa","Di")</f>
        <v>Lu</v>
      </c>
      <c r="T33" s="74" t="str">
        <f t="shared" si="74"/>
        <v>Ma</v>
      </c>
      <c r="U33" s="74" t="str">
        <f t="shared" si="74"/>
        <v>Me</v>
      </c>
      <c r="V33" s="74" t="str">
        <f t="shared" si="74"/>
        <v>Je</v>
      </c>
      <c r="W33" s="74" t="str">
        <f t="shared" si="74"/>
        <v>Ve</v>
      </c>
      <c r="X33" s="80" t="str">
        <f t="shared" si="74"/>
        <v>Sa</v>
      </c>
      <c r="Y33" s="80" t="str">
        <f t="shared" si="74"/>
        <v>Di</v>
      </c>
      <c r="Z33" s="78"/>
      <c r="AA33" s="214"/>
    </row>
    <row r="34" spans="1:27" ht="20.6" customHeight="1" x14ac:dyDescent="0.3">
      <c r="A34" s="15"/>
      <c r="B34" s="8"/>
      <c r="C34" s="35">
        <f t="shared" ref="C34:C39" si="75">DATE(Anofr,MONTH($C$31),1)-WEEKDAY(DATE(Anofr,MONTH($C$31),1),(Débutsemfr="Lundi")+1)+$A7*7-6</f>
        <v>43738</v>
      </c>
      <c r="D34" s="36">
        <f t="shared" ref="D34:D39" si="76">DATE(Anofr,MONTH($C$31),1)-WEEKDAY(DATE(Anofr,MONTH($C$31),1),(Débutsemfr="Lundi")+1)+$A7*7-5</f>
        <v>43739</v>
      </c>
      <c r="E34" s="36">
        <f t="shared" ref="E34:E39" si="77">DATE(Anofr,MONTH($C$31),1)-WEEKDAY(DATE(Anofr,MONTH($C$31),1),(Débutsemfr="Lundi")+1)+$A7*7-4</f>
        <v>43740</v>
      </c>
      <c r="F34" s="36">
        <f t="shared" ref="F34:F39" si="78">DATE(Anofr,MONTH($C$31),1)-WEEKDAY(DATE(Anofr,MONTH($C$31),1),(Débutsemfr="Lundi")+1)+$A7*7-3</f>
        <v>43741</v>
      </c>
      <c r="G34" s="36">
        <f t="shared" ref="G34:G39" si="79">DATE(Anofr,MONTH($C$31),1)-WEEKDAY(DATE(Anofr,MONTH($C$31),1),(Débutsemfr="Lundi")+1)+$A7*7-2</f>
        <v>43742</v>
      </c>
      <c r="H34" s="37">
        <f t="shared" ref="H34:H39" si="80">DATE(Anofr,MONTH($C$31),1)-WEEKDAY(DATE(Anofr,MONTH($C$31),1),(Débutsemfr="Lundi")+1)+$A7*7-1</f>
        <v>43743</v>
      </c>
      <c r="I34" s="38">
        <f t="shared" ref="I34:I39" si="81">DATE(Anofr,MONTH($C$31),1)-WEEKDAY(DATE(Anofr,MONTH($C$31),1),(Débutsemfr="Lundi")+1)+$A7*7</f>
        <v>43744</v>
      </c>
      <c r="J34" s="15"/>
      <c r="K34" s="35">
        <f t="shared" ref="K34:K39" si="82">DATE(Anofr,MONTH($K$31),1)-WEEKDAY(DATE(Anofr,MONTH($K$31),1),(Débutsemfr="Lundi")+1)+$A7*7-6</f>
        <v>43766</v>
      </c>
      <c r="L34" s="36">
        <f t="shared" ref="L34:L39" si="83">DATE(Anofr,MONTH($K$31),1)-WEEKDAY(DATE(Anofr,MONTH($K$31),1),(Débutsemfr="Lundi")+1)+$A7*7-5</f>
        <v>43767</v>
      </c>
      <c r="M34" s="36">
        <f t="shared" ref="M34:M39" si="84">DATE(Anofr,MONTH($K$31),1)-WEEKDAY(DATE(Anofr,MONTH($K$31),1),(Débutsemfr="Lundi")+1)+$A7*7-4</f>
        <v>43768</v>
      </c>
      <c r="N34" s="36">
        <f t="shared" ref="N34:N39" si="85">DATE(Anofr,MONTH($K$31),1)-WEEKDAY(DATE(Anofr,MONTH($K$31),1),(Débutsemfr="Lundi")+1)+$A7*7-3</f>
        <v>43769</v>
      </c>
      <c r="O34" s="36">
        <f t="shared" ref="O34:O39" si="86">DATE(Anofr,MONTH($K$31),1)-WEEKDAY(DATE(Anofr,MONTH($K$31),1),(Débutsemfr="Lundi")+1)+$A7*7-2</f>
        <v>43770</v>
      </c>
      <c r="P34" s="37">
        <f t="shared" ref="P34:P39" si="87">DATE(Anofr,MONTH($K$31),1)-WEEKDAY(DATE(Anofr,MONTH($K$31),1),(Débutsemfr="Lundi")+1)+$A7*7-1</f>
        <v>43771</v>
      </c>
      <c r="Q34" s="38">
        <f t="shared" ref="Q34:Q39" si="88">DATE(Anofr,MONTH($K$31),1)-WEEKDAY(DATE(Anofr,MONTH($K$31),1),(Débutsemfr="Lundi")+1)+$A7*7</f>
        <v>43772</v>
      </c>
      <c r="R34" s="15"/>
      <c r="S34" s="35">
        <f t="shared" ref="S34:S39" si="89">DATE(Anofr,MONTH($S$31),1)-WEEKDAY(DATE(Anofr,MONTH($S$31),1),(Débutsemfr="Lundi")+1)+$A7*7-6</f>
        <v>43794</v>
      </c>
      <c r="T34" s="36">
        <f t="shared" ref="T34:T39" si="90">DATE(Anofr,MONTH($S$31),1)-WEEKDAY(DATE(Anofr,MONTH($S$31),1),(Débutsemfr="Lundi")+1)+$A7*7-5</f>
        <v>43795</v>
      </c>
      <c r="U34" s="36">
        <f t="shared" ref="U34:U39" si="91">DATE(Anofr,MONTH($S$31),1)-WEEKDAY(DATE(Anofr,MONTH($S$31),1),(Débutsemfr="Lundi")+1)+$A7*7-4</f>
        <v>43796</v>
      </c>
      <c r="V34" s="36">
        <f t="shared" ref="V34:V39" si="92">DATE(Anofr,MONTH($S$31),1)-WEEKDAY(DATE(Anofr,MONTH($S$31),1),(Débutsemfr="Lundi")+1)+$A7*7-3</f>
        <v>43797</v>
      </c>
      <c r="W34" s="36">
        <f t="shared" ref="W34:W39" si="93">DATE(Anofr,MONTH($S$31),1)-WEEKDAY(DATE(Anofr,MONTH($S$31),1),(Débutsemfr="Lundi")+1)+$A7*7-2</f>
        <v>43798</v>
      </c>
      <c r="X34" s="37">
        <f t="shared" ref="X34:X39" si="94">DATE(Anofr,MONTH($S$31),1)-WEEKDAY(DATE(Anofr,MONTH($S$31),1),(Débutsemfr="Lundi")+1)+$A7*7-1</f>
        <v>43799</v>
      </c>
      <c r="Y34" s="38">
        <f t="shared" ref="Y34:Y39" si="95">DATE(Anofr,MONTH($S$31),1)-WEEKDAY(DATE(Anofr,MONTH($S$31),1),(Débutsemfr="Lundi")+1)+$A7*7</f>
        <v>43800</v>
      </c>
      <c r="Z34" s="14"/>
      <c r="AA34" s="214"/>
    </row>
    <row r="35" spans="1:27" ht="20.6" customHeight="1" x14ac:dyDescent="0.3">
      <c r="A35" s="15"/>
      <c r="B35" s="8"/>
      <c r="C35" s="39">
        <f t="shared" si="75"/>
        <v>43745</v>
      </c>
      <c r="D35" s="40">
        <f t="shared" si="76"/>
        <v>43746</v>
      </c>
      <c r="E35" s="40">
        <f t="shared" si="77"/>
        <v>43747</v>
      </c>
      <c r="F35" s="40">
        <f t="shared" si="78"/>
        <v>43748</v>
      </c>
      <c r="G35" s="40">
        <f t="shared" si="79"/>
        <v>43749</v>
      </c>
      <c r="H35" s="41">
        <f t="shared" si="80"/>
        <v>43750</v>
      </c>
      <c r="I35" s="42">
        <f t="shared" si="81"/>
        <v>43751</v>
      </c>
      <c r="J35" s="15"/>
      <c r="K35" s="39">
        <f t="shared" si="82"/>
        <v>43773</v>
      </c>
      <c r="L35" s="40">
        <f t="shared" si="83"/>
        <v>43774</v>
      </c>
      <c r="M35" s="40">
        <f t="shared" si="84"/>
        <v>43775</v>
      </c>
      <c r="N35" s="40">
        <f t="shared" si="85"/>
        <v>43776</v>
      </c>
      <c r="O35" s="40">
        <f t="shared" si="86"/>
        <v>43777</v>
      </c>
      <c r="P35" s="41">
        <f t="shared" si="87"/>
        <v>43778</v>
      </c>
      <c r="Q35" s="42">
        <f t="shared" si="88"/>
        <v>43779</v>
      </c>
      <c r="R35" s="15"/>
      <c r="S35" s="39">
        <f t="shared" si="89"/>
        <v>43801</v>
      </c>
      <c r="T35" s="40">
        <f t="shared" si="90"/>
        <v>43802</v>
      </c>
      <c r="U35" s="40">
        <f t="shared" si="91"/>
        <v>43803</v>
      </c>
      <c r="V35" s="40">
        <f t="shared" si="92"/>
        <v>43804</v>
      </c>
      <c r="W35" s="40">
        <f t="shared" si="93"/>
        <v>43805</v>
      </c>
      <c r="X35" s="41">
        <f t="shared" si="94"/>
        <v>43806</v>
      </c>
      <c r="Y35" s="42">
        <f t="shared" si="95"/>
        <v>43807</v>
      </c>
      <c r="Z35" s="14"/>
      <c r="AA35" s="214"/>
    </row>
    <row r="36" spans="1:27" ht="20.6" customHeight="1" x14ac:dyDescent="0.3">
      <c r="A36" s="15"/>
      <c r="B36" s="8"/>
      <c r="C36" s="39">
        <f t="shared" si="75"/>
        <v>43752</v>
      </c>
      <c r="D36" s="40">
        <f t="shared" si="76"/>
        <v>43753</v>
      </c>
      <c r="E36" s="40">
        <f t="shared" si="77"/>
        <v>43754</v>
      </c>
      <c r="F36" s="40">
        <f t="shared" si="78"/>
        <v>43755</v>
      </c>
      <c r="G36" s="40">
        <f t="shared" si="79"/>
        <v>43756</v>
      </c>
      <c r="H36" s="41">
        <f t="shared" si="80"/>
        <v>43757</v>
      </c>
      <c r="I36" s="42">
        <f t="shared" si="81"/>
        <v>43758</v>
      </c>
      <c r="J36" s="15"/>
      <c r="K36" s="39">
        <f t="shared" si="82"/>
        <v>43780</v>
      </c>
      <c r="L36" s="40">
        <f t="shared" si="83"/>
        <v>43781</v>
      </c>
      <c r="M36" s="40">
        <f t="shared" si="84"/>
        <v>43782</v>
      </c>
      <c r="N36" s="40">
        <f t="shared" si="85"/>
        <v>43783</v>
      </c>
      <c r="O36" s="40">
        <f t="shared" si="86"/>
        <v>43784</v>
      </c>
      <c r="P36" s="41">
        <f t="shared" si="87"/>
        <v>43785</v>
      </c>
      <c r="Q36" s="42">
        <f t="shared" si="88"/>
        <v>43786</v>
      </c>
      <c r="R36" s="15"/>
      <c r="S36" s="39">
        <f t="shared" si="89"/>
        <v>43808</v>
      </c>
      <c r="T36" s="40">
        <f t="shared" si="90"/>
        <v>43809</v>
      </c>
      <c r="U36" s="40">
        <f t="shared" si="91"/>
        <v>43810</v>
      </c>
      <c r="V36" s="40">
        <f t="shared" si="92"/>
        <v>43811</v>
      </c>
      <c r="W36" s="40">
        <f t="shared" si="93"/>
        <v>43812</v>
      </c>
      <c r="X36" s="41">
        <f t="shared" si="94"/>
        <v>43813</v>
      </c>
      <c r="Y36" s="42">
        <f t="shared" si="95"/>
        <v>43814</v>
      </c>
      <c r="Z36" s="14"/>
      <c r="AA36" s="214"/>
    </row>
    <row r="37" spans="1:27" ht="20.6" customHeight="1" x14ac:dyDescent="0.3">
      <c r="A37" s="15"/>
      <c r="B37" s="8"/>
      <c r="C37" s="39">
        <f t="shared" si="75"/>
        <v>43759</v>
      </c>
      <c r="D37" s="40">
        <f t="shared" si="76"/>
        <v>43760</v>
      </c>
      <c r="E37" s="40">
        <f t="shared" si="77"/>
        <v>43761</v>
      </c>
      <c r="F37" s="40">
        <f t="shared" si="78"/>
        <v>43762</v>
      </c>
      <c r="G37" s="40">
        <f t="shared" si="79"/>
        <v>43763</v>
      </c>
      <c r="H37" s="41">
        <f t="shared" si="80"/>
        <v>43764</v>
      </c>
      <c r="I37" s="42">
        <f t="shared" si="81"/>
        <v>43765</v>
      </c>
      <c r="J37" s="15"/>
      <c r="K37" s="39">
        <f t="shared" si="82"/>
        <v>43787</v>
      </c>
      <c r="L37" s="40">
        <f t="shared" si="83"/>
        <v>43788</v>
      </c>
      <c r="M37" s="40">
        <f t="shared" si="84"/>
        <v>43789</v>
      </c>
      <c r="N37" s="40">
        <f t="shared" si="85"/>
        <v>43790</v>
      </c>
      <c r="O37" s="40">
        <f t="shared" si="86"/>
        <v>43791</v>
      </c>
      <c r="P37" s="41">
        <f t="shared" si="87"/>
        <v>43792</v>
      </c>
      <c r="Q37" s="42">
        <f t="shared" si="88"/>
        <v>43793</v>
      </c>
      <c r="R37" s="15"/>
      <c r="S37" s="39">
        <f t="shared" si="89"/>
        <v>43815</v>
      </c>
      <c r="T37" s="40">
        <f t="shared" si="90"/>
        <v>43816</v>
      </c>
      <c r="U37" s="40">
        <f t="shared" si="91"/>
        <v>43817</v>
      </c>
      <c r="V37" s="40">
        <f t="shared" si="92"/>
        <v>43818</v>
      </c>
      <c r="W37" s="40">
        <f t="shared" si="93"/>
        <v>43819</v>
      </c>
      <c r="X37" s="41">
        <f t="shared" si="94"/>
        <v>43820</v>
      </c>
      <c r="Y37" s="42">
        <f t="shared" si="95"/>
        <v>43821</v>
      </c>
      <c r="Z37" s="14"/>
      <c r="AA37" s="214"/>
    </row>
    <row r="38" spans="1:27" ht="20.6" customHeight="1" x14ac:dyDescent="0.3">
      <c r="A38" s="15"/>
      <c r="B38" s="8"/>
      <c r="C38" s="39">
        <f t="shared" si="75"/>
        <v>43766</v>
      </c>
      <c r="D38" s="40">
        <f t="shared" si="76"/>
        <v>43767</v>
      </c>
      <c r="E38" s="40">
        <f t="shared" si="77"/>
        <v>43768</v>
      </c>
      <c r="F38" s="40">
        <f t="shared" si="78"/>
        <v>43769</v>
      </c>
      <c r="G38" s="40">
        <f t="shared" si="79"/>
        <v>43770</v>
      </c>
      <c r="H38" s="41">
        <f t="shared" si="80"/>
        <v>43771</v>
      </c>
      <c r="I38" s="42">
        <f t="shared" si="81"/>
        <v>43772</v>
      </c>
      <c r="J38" s="15"/>
      <c r="K38" s="39">
        <f t="shared" si="82"/>
        <v>43794</v>
      </c>
      <c r="L38" s="40">
        <f t="shared" si="83"/>
        <v>43795</v>
      </c>
      <c r="M38" s="40">
        <f t="shared" si="84"/>
        <v>43796</v>
      </c>
      <c r="N38" s="40">
        <f t="shared" si="85"/>
        <v>43797</v>
      </c>
      <c r="O38" s="40">
        <f t="shared" si="86"/>
        <v>43798</v>
      </c>
      <c r="P38" s="41">
        <f t="shared" si="87"/>
        <v>43799</v>
      </c>
      <c r="Q38" s="42">
        <f t="shared" si="88"/>
        <v>43800</v>
      </c>
      <c r="R38" s="15"/>
      <c r="S38" s="39">
        <f t="shared" si="89"/>
        <v>43822</v>
      </c>
      <c r="T38" s="40">
        <f t="shared" si="90"/>
        <v>43823</v>
      </c>
      <c r="U38" s="40">
        <f t="shared" si="91"/>
        <v>43824</v>
      </c>
      <c r="V38" s="40">
        <f t="shared" si="92"/>
        <v>43825</v>
      </c>
      <c r="W38" s="40">
        <f t="shared" si="93"/>
        <v>43826</v>
      </c>
      <c r="X38" s="41">
        <f t="shared" si="94"/>
        <v>43827</v>
      </c>
      <c r="Y38" s="42">
        <f t="shared" si="95"/>
        <v>43828</v>
      </c>
      <c r="Z38" s="14"/>
      <c r="AA38" s="214"/>
    </row>
    <row r="39" spans="1:27" ht="20.6" customHeight="1" thickBot="1" x14ac:dyDescent="0.35">
      <c r="A39" s="15"/>
      <c r="B39" s="8"/>
      <c r="C39" s="45">
        <f t="shared" si="75"/>
        <v>43773</v>
      </c>
      <c r="D39" s="46">
        <f t="shared" si="76"/>
        <v>43774</v>
      </c>
      <c r="E39" s="46">
        <f t="shared" si="77"/>
        <v>43775</v>
      </c>
      <c r="F39" s="46">
        <f t="shared" si="78"/>
        <v>43776</v>
      </c>
      <c r="G39" s="46">
        <f t="shared" si="79"/>
        <v>43777</v>
      </c>
      <c r="H39" s="47">
        <f t="shared" si="80"/>
        <v>43778</v>
      </c>
      <c r="I39" s="48">
        <f t="shared" si="81"/>
        <v>43779</v>
      </c>
      <c r="J39" s="15"/>
      <c r="K39" s="45">
        <f t="shared" si="82"/>
        <v>43801</v>
      </c>
      <c r="L39" s="46">
        <f t="shared" si="83"/>
        <v>43802</v>
      </c>
      <c r="M39" s="46">
        <f t="shared" si="84"/>
        <v>43803</v>
      </c>
      <c r="N39" s="46">
        <f t="shared" si="85"/>
        <v>43804</v>
      </c>
      <c r="O39" s="46">
        <f t="shared" si="86"/>
        <v>43805</v>
      </c>
      <c r="P39" s="47">
        <f t="shared" si="87"/>
        <v>43806</v>
      </c>
      <c r="Q39" s="48">
        <f t="shared" si="88"/>
        <v>43807</v>
      </c>
      <c r="R39" s="15"/>
      <c r="S39" s="45">
        <f t="shared" si="89"/>
        <v>43829</v>
      </c>
      <c r="T39" s="46">
        <f t="shared" si="90"/>
        <v>43830</v>
      </c>
      <c r="U39" s="46">
        <f t="shared" si="91"/>
        <v>43831</v>
      </c>
      <c r="V39" s="46">
        <f t="shared" si="92"/>
        <v>43832</v>
      </c>
      <c r="W39" s="46">
        <f t="shared" si="93"/>
        <v>43833</v>
      </c>
      <c r="X39" s="47">
        <f t="shared" si="94"/>
        <v>43834</v>
      </c>
      <c r="Y39" s="48">
        <f t="shared" si="95"/>
        <v>43835</v>
      </c>
      <c r="Z39" s="14"/>
      <c r="AA39" s="214"/>
    </row>
    <row r="40" spans="1:27" ht="8.5" customHeight="1" thickBot="1" x14ac:dyDescent="0.35">
      <c r="A40" s="15"/>
      <c r="B40" s="58"/>
      <c r="C40" s="59"/>
      <c r="D40" s="59"/>
      <c r="E40" s="59"/>
      <c r="F40" s="59"/>
      <c r="G40" s="59"/>
      <c r="H40" s="59"/>
      <c r="I40" s="59"/>
      <c r="J40" s="60"/>
      <c r="K40" s="59"/>
      <c r="L40" s="59"/>
      <c r="M40" s="59"/>
      <c r="N40" s="59"/>
      <c r="O40" s="59"/>
      <c r="P40" s="59"/>
      <c r="Q40" s="59"/>
      <c r="R40" s="60"/>
      <c r="S40" s="59"/>
      <c r="T40" s="59"/>
      <c r="U40" s="59"/>
      <c r="V40" s="59"/>
      <c r="W40" s="59"/>
      <c r="X40" s="59"/>
      <c r="Y40" s="59"/>
      <c r="Z40" s="61"/>
      <c r="AA40" s="214"/>
    </row>
    <row r="41" spans="1:27" ht="7.3" customHeight="1" x14ac:dyDescent="0.3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</row>
  </sheetData>
  <sheetProtection algorithmName="SHA-512" hashValue="kLJlJ1/qi756Of6b/i5lvAAd96PLYh5nr4ewNJwzGvIU11X6aduZ1yQYLNAb0cAZq1CV5JXt6/1UgLBAi1tRiw==" saltValue="dXhX74U73hM39XM1t7RRDQ==" spinCount="100000" sheet="1" objects="1" scenarios="1"/>
  <mergeCells count="29">
    <mergeCell ref="A1:AA1"/>
    <mergeCell ref="AA2:AA40"/>
    <mergeCell ref="K3:Q3"/>
    <mergeCell ref="T3:X3"/>
    <mergeCell ref="C4:I4"/>
    <mergeCell ref="K4:Q4"/>
    <mergeCell ref="S4:Y4"/>
    <mergeCell ref="C5:I5"/>
    <mergeCell ref="K5:Q5"/>
    <mergeCell ref="S5:Y5"/>
    <mergeCell ref="C13:I13"/>
    <mergeCell ref="K13:Q13"/>
    <mergeCell ref="S13:Y13"/>
    <mergeCell ref="C14:I14"/>
    <mergeCell ref="K14:Q14"/>
    <mergeCell ref="S14:Y14"/>
    <mergeCell ref="C22:I22"/>
    <mergeCell ref="K22:Q22"/>
    <mergeCell ref="S22:Y22"/>
    <mergeCell ref="C23:I23"/>
    <mergeCell ref="K23:Q23"/>
    <mergeCell ref="S23:Y23"/>
    <mergeCell ref="A41:AA41"/>
    <mergeCell ref="C31:I31"/>
    <mergeCell ref="K31:Q31"/>
    <mergeCell ref="S31:Y31"/>
    <mergeCell ref="C32:I32"/>
    <mergeCell ref="K32:Q32"/>
    <mergeCell ref="S32:Y32"/>
  </mergeCells>
  <conditionalFormatting sqref="C7:I7">
    <cfRule type="expression" dxfId="164" priority="24">
      <formula>DAY(C7)&gt;7</formula>
    </cfRule>
  </conditionalFormatting>
  <conditionalFormatting sqref="K7:Q7">
    <cfRule type="expression" dxfId="163" priority="23">
      <formula>DAY(K7)&gt;7</formula>
    </cfRule>
  </conditionalFormatting>
  <conditionalFormatting sqref="S7:Y7">
    <cfRule type="expression" dxfId="162" priority="22">
      <formula>DAY(S7)&gt;7</formula>
    </cfRule>
  </conditionalFormatting>
  <conditionalFormatting sqref="C11:I12">
    <cfRule type="expression" dxfId="161" priority="12">
      <formula>DAY(C11)&lt;15</formula>
    </cfRule>
  </conditionalFormatting>
  <conditionalFormatting sqref="K11:Q12">
    <cfRule type="expression" dxfId="160" priority="11">
      <formula>DAY(K11)&lt;15</formula>
    </cfRule>
  </conditionalFormatting>
  <conditionalFormatting sqref="S11:Y12">
    <cfRule type="expression" dxfId="159" priority="10">
      <formula>DAY(S11)&lt;15</formula>
    </cfRule>
  </conditionalFormatting>
  <conditionalFormatting sqref="C20:I21">
    <cfRule type="expression" dxfId="158" priority="9">
      <formula>DAY(C20)&lt;15</formula>
    </cfRule>
  </conditionalFormatting>
  <conditionalFormatting sqref="K20:Q21">
    <cfRule type="expression" dxfId="157" priority="8">
      <formula>DAY(C20)&lt;15</formula>
    </cfRule>
  </conditionalFormatting>
  <conditionalFormatting sqref="S20:Y21">
    <cfRule type="expression" dxfId="156" priority="7">
      <formula>DAY(S20)&lt;15</formula>
    </cfRule>
  </conditionalFormatting>
  <conditionalFormatting sqref="C29:I30">
    <cfRule type="expression" dxfId="155" priority="6">
      <formula>DAY(C29)&lt;15</formula>
    </cfRule>
  </conditionalFormatting>
  <conditionalFormatting sqref="K29:Q30">
    <cfRule type="expression" dxfId="154" priority="5">
      <formula>DAY(K29)&lt;15</formula>
    </cfRule>
  </conditionalFormatting>
  <conditionalFormatting sqref="S29:Y30">
    <cfRule type="expression" dxfId="153" priority="4">
      <formula>DAY(S29)&lt;15</formula>
    </cfRule>
  </conditionalFormatting>
  <conditionalFormatting sqref="C38:I39">
    <cfRule type="expression" dxfId="152" priority="3">
      <formula>DAY(C38)&lt;15</formula>
    </cfRule>
  </conditionalFormatting>
  <conditionalFormatting sqref="K38:Q39">
    <cfRule type="expression" dxfId="151" priority="2">
      <formula>DAY(K38)&lt;15</formula>
    </cfRule>
  </conditionalFormatting>
  <conditionalFormatting sqref="S38:Y39">
    <cfRule type="expression" dxfId="150" priority="1">
      <formula>DAY(S38)&lt;15</formula>
    </cfRule>
  </conditionalFormatting>
  <conditionalFormatting sqref="C16:I16">
    <cfRule type="expression" dxfId="149" priority="21">
      <formula>DAY(C16)&gt;7</formula>
    </cfRule>
  </conditionalFormatting>
  <conditionalFormatting sqref="K16:Q16">
    <cfRule type="expression" dxfId="148" priority="20">
      <formula>DAY(K16)&gt;7</formula>
    </cfRule>
  </conditionalFormatting>
  <conditionalFormatting sqref="S16:Y16">
    <cfRule type="expression" dxfId="147" priority="19">
      <formula>DAY(S16)&gt;7</formula>
    </cfRule>
  </conditionalFormatting>
  <conditionalFormatting sqref="C25:I25">
    <cfRule type="expression" dxfId="146" priority="18">
      <formula>DAY(C25)&gt;7</formula>
    </cfRule>
  </conditionalFormatting>
  <conditionalFormatting sqref="K25:Q25">
    <cfRule type="expression" dxfId="145" priority="17">
      <formula>DAY(K25)&gt;7</formula>
    </cfRule>
  </conditionalFormatting>
  <conditionalFormatting sqref="S25:Y25">
    <cfRule type="expression" dxfId="144" priority="16">
      <formula>DAY(S25)&gt;7</formula>
    </cfRule>
  </conditionalFormatting>
  <conditionalFormatting sqref="C34:I34">
    <cfRule type="expression" dxfId="143" priority="15">
      <formula>DAY(C34)&gt;7</formula>
    </cfRule>
  </conditionalFormatting>
  <conditionalFormatting sqref="K34:Q34">
    <cfRule type="expression" dxfId="142" priority="14">
      <formula>DAY(K34)&gt;7</formula>
    </cfRule>
  </conditionalFormatting>
  <conditionalFormatting sqref="S34:Y34">
    <cfRule type="expression" dxfId="141" priority="13">
      <formula>DAY(S34)&gt;7</formula>
    </cfRule>
  </conditionalFormatting>
  <conditionalFormatting sqref="C7:I12 K7:Q12 S7:Y12 C16:I21 K16:Q21 S16:Y21 C25:I30 K25:Q30 S25:Y30 C34:I39 K34:Q39 S34:Y39">
    <cfRule type="expression" dxfId="140" priority="26">
      <formula>C7=TODAY()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E01A4766-1F67-4140-8419-CB2372EBE30C}">
            <xm:f>VLOOKUP(C7,'Jours fériés'!$K$7:$K$17,1,FALSE)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AD4E-6224-45EB-A525-692CB8F756FE}">
  <dimension ref="A1:AC41"/>
  <sheetViews>
    <sheetView workbookViewId="0">
      <selection activeCell="C3" sqref="C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9" ht="7.3" customHeight="1" thickBot="1" x14ac:dyDescent="0.35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29" ht="8.5" customHeight="1" thickBot="1" x14ac:dyDescent="0.35">
      <c r="A2" s="2"/>
      <c r="B2" s="3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6"/>
      <c r="AA2" s="214"/>
    </row>
    <row r="3" spans="1:29" ht="21.8" customHeight="1" thickTop="1" thickBot="1" x14ac:dyDescent="0.35">
      <c r="A3" s="7"/>
      <c r="B3" s="8"/>
      <c r="C3" s="9"/>
      <c r="D3" s="10"/>
      <c r="E3" s="10"/>
      <c r="F3" s="10"/>
      <c r="G3" s="10"/>
      <c r="H3" s="10"/>
      <c r="I3" s="10"/>
      <c r="J3" s="11"/>
      <c r="K3" s="222">
        <v>2019</v>
      </c>
      <c r="L3" s="223"/>
      <c r="M3" s="223"/>
      <c r="N3" s="223"/>
      <c r="O3" s="223"/>
      <c r="P3" s="223"/>
      <c r="Q3" s="223"/>
      <c r="R3" s="12"/>
      <c r="S3" s="13"/>
      <c r="T3" s="224"/>
      <c r="U3" s="224"/>
      <c r="V3" s="224"/>
      <c r="W3" s="224"/>
      <c r="X3" s="224"/>
      <c r="Y3" s="10"/>
      <c r="Z3" s="14"/>
      <c r="AA3" s="214"/>
    </row>
    <row r="4" spans="1:29" ht="12.1" customHeight="1" thickTop="1" thickBot="1" x14ac:dyDescent="0.35">
      <c r="A4" s="15"/>
      <c r="B4" s="8"/>
      <c r="C4" s="215">
        <f>DATE(Anoall,1,1)</f>
        <v>43466</v>
      </c>
      <c r="D4" s="215"/>
      <c r="E4" s="215"/>
      <c r="F4" s="215"/>
      <c r="G4" s="215"/>
      <c r="H4" s="215"/>
      <c r="I4" s="215"/>
      <c r="J4" s="15"/>
      <c r="K4" s="225">
        <f>DATE(Anoall,2,1)</f>
        <v>43497</v>
      </c>
      <c r="L4" s="225"/>
      <c r="M4" s="225"/>
      <c r="N4" s="225"/>
      <c r="O4" s="225"/>
      <c r="P4" s="225"/>
      <c r="Q4" s="225"/>
      <c r="R4" s="16"/>
      <c r="S4" s="215">
        <f>DATE(Anoall,3,1)</f>
        <v>43525</v>
      </c>
      <c r="T4" s="215"/>
      <c r="U4" s="215"/>
      <c r="V4" s="215"/>
      <c r="W4" s="215"/>
      <c r="X4" s="215"/>
      <c r="Y4" s="215"/>
      <c r="Z4" s="7"/>
      <c r="AA4" s="214"/>
    </row>
    <row r="5" spans="1:29" s="20" customFormat="1" ht="20.6" customHeight="1" thickBot="1" x14ac:dyDescent="0.35">
      <c r="A5" s="10"/>
      <c r="B5" s="17"/>
      <c r="C5" s="216" t="str">
        <f>CHOOSE(MONTH(C4),"JANVIER")</f>
        <v>JANVIER</v>
      </c>
      <c r="D5" s="217"/>
      <c r="E5" s="217"/>
      <c r="F5" s="217"/>
      <c r="G5" s="217"/>
      <c r="H5" s="217"/>
      <c r="I5" s="218"/>
      <c r="J5" s="18" t="s">
        <v>0</v>
      </c>
      <c r="K5" s="216" t="str">
        <f>CHOOSE(MONTH(C4),"FÉVRIER")</f>
        <v>FÉVRIER</v>
      </c>
      <c r="L5" s="217"/>
      <c r="M5" s="217"/>
      <c r="N5" s="217"/>
      <c r="O5" s="217"/>
      <c r="P5" s="217"/>
      <c r="Q5" s="218"/>
      <c r="R5" s="10"/>
      <c r="S5" s="216" t="str">
        <f>CHOOSE(MONTH(C4),"MARS")</f>
        <v>MARS</v>
      </c>
      <c r="T5" s="217"/>
      <c r="U5" s="217"/>
      <c r="V5" s="217"/>
      <c r="W5" s="217"/>
      <c r="X5" s="217"/>
      <c r="Y5" s="218"/>
      <c r="Z5" s="19"/>
      <c r="AA5" s="214"/>
    </row>
    <row r="6" spans="1:29" s="20" customFormat="1" ht="16.350000000000001" customHeight="1" thickBot="1" x14ac:dyDescent="0.35">
      <c r="A6" s="10"/>
      <c r="B6" s="17"/>
      <c r="C6" s="74" t="str">
        <f t="shared" ref="C6:I6" si="0">CHOOSE(COLUMN(A$1)+(Débutsemall="Lundi"),"Di","Lu","Ma","Me","Je","Ve","Sa","Di")</f>
        <v>Lu</v>
      </c>
      <c r="D6" s="74" t="str">
        <f t="shared" si="0"/>
        <v>Ma</v>
      </c>
      <c r="E6" s="74" t="str">
        <f t="shared" si="0"/>
        <v>Me</v>
      </c>
      <c r="F6" s="74" t="str">
        <f t="shared" si="0"/>
        <v>Je</v>
      </c>
      <c r="G6" s="74" t="str">
        <f t="shared" si="0"/>
        <v>Ve</v>
      </c>
      <c r="H6" s="80" t="str">
        <f t="shared" si="0"/>
        <v>Sa</v>
      </c>
      <c r="I6" s="80" t="str">
        <f t="shared" si="0"/>
        <v>Di</v>
      </c>
      <c r="J6" s="27"/>
      <c r="K6" s="74" t="str">
        <f t="shared" ref="K6:Q6" si="1">CHOOSE(COLUMN(A$1)+(Débutsemall="Lundi"),"Di","Lu","Ma","Me","Je","Ve","Sa","Di")</f>
        <v>Lu</v>
      </c>
      <c r="L6" s="74" t="str">
        <f t="shared" si="1"/>
        <v>Ma</v>
      </c>
      <c r="M6" s="74" t="str">
        <f t="shared" si="1"/>
        <v>Me</v>
      </c>
      <c r="N6" s="74" t="str">
        <f t="shared" si="1"/>
        <v>Je</v>
      </c>
      <c r="O6" s="74" t="str">
        <f t="shared" si="1"/>
        <v>Ve</v>
      </c>
      <c r="P6" s="80" t="str">
        <f t="shared" si="1"/>
        <v>Sa</v>
      </c>
      <c r="Q6" s="119" t="str">
        <f t="shared" si="1"/>
        <v>Di</v>
      </c>
      <c r="R6" s="30"/>
      <c r="S6" s="74" t="str">
        <f t="shared" ref="S6:Y6" si="2">CHOOSE(COLUMN(A$1)+(Débutsemall="Lundi"),"Di","Lu","Ma","Me","Je","Ve","Sa","Di")</f>
        <v>Lu</v>
      </c>
      <c r="T6" s="74" t="str">
        <f t="shared" si="2"/>
        <v>Ma</v>
      </c>
      <c r="U6" s="74" t="str">
        <f t="shared" si="2"/>
        <v>Me</v>
      </c>
      <c r="V6" s="74" t="str">
        <f t="shared" si="2"/>
        <v>Je</v>
      </c>
      <c r="W6" s="74" t="str">
        <f t="shared" si="2"/>
        <v>Ve</v>
      </c>
      <c r="X6" s="80" t="str">
        <f t="shared" si="2"/>
        <v>Sa</v>
      </c>
      <c r="Y6" s="119" t="str">
        <f t="shared" si="2"/>
        <v>Di</v>
      </c>
      <c r="Z6" s="33"/>
      <c r="AA6" s="214"/>
    </row>
    <row r="7" spans="1:29" ht="20.6" customHeight="1" x14ac:dyDescent="0.3">
      <c r="A7" s="15">
        <v>1</v>
      </c>
      <c r="B7" s="8"/>
      <c r="C7" s="35">
        <f t="shared" ref="C7:C12" si="3">DATE(Anoall,MONTH($C$4),1)-WEEKDAY(DATE(Anoall,MONTH($C$4),1),(Débutsemall="Lundi")+1)+$A7*7-6</f>
        <v>43465</v>
      </c>
      <c r="D7" s="36">
        <f t="shared" ref="D7:D12" si="4">DATE(Anoall,MONTH($C$4),1)-WEEKDAY(DATE(Anoall,MONTH($C$4),1),(Débutsemall="Lundi")+1)+$A7*7-5</f>
        <v>43466</v>
      </c>
      <c r="E7" s="36">
        <f t="shared" ref="E7:E12" si="5">DATE(Anoall,MONTH($C$4),1)-WEEKDAY(DATE(Anoall,MONTH($C$4),1),(Débutsemall="Lundi")+1)+$A7*7-4</f>
        <v>43467</v>
      </c>
      <c r="F7" s="36">
        <f t="shared" ref="F7:F12" si="6">DATE(Anoall,MONTH($C$4),1)-WEEKDAY(DATE(Anoall,MONTH($C$4),1),(Débutsemall="Lundi")+1)+$A7*7-3</f>
        <v>43468</v>
      </c>
      <c r="G7" s="36">
        <f t="shared" ref="G7:G12" si="7">DATE(Anoall,MONTH($C$4),1)-WEEKDAY(DATE(Anoall,MONTH($C$4),1),(Débutsemall="Lundi")+1)+$A7*7-2</f>
        <v>43469</v>
      </c>
      <c r="H7" s="37">
        <f t="shared" ref="H7:H12" si="8">DATE(Anoall,MONTH($C$4),1)-WEEKDAY(DATE(Anoall,MONTH($C$4),1),(Débutsemall="Lundi")+1)+$A7*7-1</f>
        <v>43470</v>
      </c>
      <c r="I7" s="38">
        <f t="shared" ref="I7:I12" si="9">DATE(Anoall,MONTH($C$4),1)-WEEKDAY(DATE(Anoall,MONTH($C$4),1),(Débutsemall="Lundi")+1)+$A7*7</f>
        <v>43471</v>
      </c>
      <c r="J7" s="15"/>
      <c r="K7" s="35">
        <f t="shared" ref="K7:K12" si="10">DATE(Anoall,MONTH($K$4),1)-WEEKDAY(DATE(Anoall,MONTH($K$4),1),(Débutsemall="Lundi")+1)+$A7*7-6</f>
        <v>43493</v>
      </c>
      <c r="L7" s="36">
        <f t="shared" ref="L7:L12" si="11">DATE(Anoall,MONTH($K$4),1)-WEEKDAY(DATE(Anoall,MONTH($K$4),1),(Débutsemall="Lundi")+1)+$A7*7-5</f>
        <v>43494</v>
      </c>
      <c r="M7" s="36">
        <f t="shared" ref="M7:M12" si="12">DATE(Anoall,MONTH($K$4),1)-WEEKDAY(DATE(Anoall,MONTH($K$4),1),(Débutsemall="Lundi")+1)+$A7*7-4</f>
        <v>43495</v>
      </c>
      <c r="N7" s="36">
        <f t="shared" ref="N7:N12" si="13">DATE(Anoall,MONTH($K$4),1)-WEEKDAY(DATE(Anoall,MONTH($K$4),1),(Débutsemall="Lundi")+1)+$A7*7-3</f>
        <v>43496</v>
      </c>
      <c r="O7" s="36">
        <f t="shared" ref="O7:O12" si="14">DATE(Anoall,MONTH($K$4),1)-WEEKDAY(DATE(Anoall,MONTH($K$4),1),(Débutsemall="Lundi")+1)+$A7*7-2</f>
        <v>43497</v>
      </c>
      <c r="P7" s="37">
        <f t="shared" ref="P7:P12" si="15">DATE(Anoall,MONTH($K$4),1)-WEEKDAY(DATE(Anoall,MONTH($K$4),1),(Débutsemall="Lundi")+1)+$A7*7-1</f>
        <v>43498</v>
      </c>
      <c r="Q7" s="38">
        <f t="shared" ref="Q7:Q12" si="16">DATE(Anoall,MONTH($K$4),1)-WEEKDAY(DATE(Anoall,MONTH($K$4),1),(Débutsemall="Lundi")+1)+$A7*7</f>
        <v>43499</v>
      </c>
      <c r="R7" s="15"/>
      <c r="S7" s="35">
        <f t="shared" ref="S7:S12" si="17">DATE(Anoall,MONTH($S$4),1)-WEEKDAY(DATE(Anoall,MONTH($S$4),1),(Débutsemall="Lundi")+1)+$A7*7-6</f>
        <v>43521</v>
      </c>
      <c r="T7" s="36">
        <f t="shared" ref="T7:T12" si="18">DATE(Anoall,MONTH($S$4),1)-WEEKDAY(DATE(Anoall,MONTH($S$4),1),(Débutsemall="Lundi")+1)+$A7*7-5</f>
        <v>43522</v>
      </c>
      <c r="U7" s="36">
        <f t="shared" ref="U7:U12" si="19">DATE(Anoall,MONTH($S$4),1)-WEEKDAY(DATE(Anoall,MONTH($S$4),1),(Débutsemall="Lundi")+1)+$A7*7-4</f>
        <v>43523</v>
      </c>
      <c r="V7" s="36">
        <f t="shared" ref="V7:V12" si="20">DATE(Anoall,MONTH($S$4),1)-WEEKDAY(DATE(Anoall,MONTH($S$4),1),(Débutsemall="Lundi")+1)+$A7*7-3</f>
        <v>43524</v>
      </c>
      <c r="W7" s="36">
        <f t="shared" ref="W7:W12" si="21">DATE(Anoall,MONTH($S$4),1)-WEEKDAY(DATE(Anoall,MONTH($S$4),1),(Débutsemall="Lundi")+1)+$A7*7-2</f>
        <v>43525</v>
      </c>
      <c r="X7" s="37">
        <f t="shared" ref="X7:X12" si="22">DATE(Anoall,MONTH($S$4),1)-WEEKDAY(DATE(Anoall,MONTH($S$4),1),(Débutsemall="Lundi")+1)+$A7*7-1</f>
        <v>43526</v>
      </c>
      <c r="Y7" s="38">
        <f t="shared" ref="Y7:Y12" si="23">DATE(Anoall,MONTH($S$4),1)-WEEKDAY(DATE(Anoall,MONTH($S$4),1),(Débutsemall="Lundi")+1)+$A7*7</f>
        <v>43527</v>
      </c>
      <c r="Z7" s="14"/>
      <c r="AA7" s="214"/>
    </row>
    <row r="8" spans="1:29" ht="20.6" customHeight="1" x14ac:dyDescent="0.3">
      <c r="A8" s="15">
        <v>2</v>
      </c>
      <c r="B8" s="8"/>
      <c r="C8" s="39">
        <f t="shared" si="3"/>
        <v>43472</v>
      </c>
      <c r="D8" s="40">
        <f t="shared" si="4"/>
        <v>43473</v>
      </c>
      <c r="E8" s="40">
        <f t="shared" si="5"/>
        <v>43474</v>
      </c>
      <c r="F8" s="40">
        <f t="shared" si="6"/>
        <v>43475</v>
      </c>
      <c r="G8" s="40">
        <f t="shared" si="7"/>
        <v>43476</v>
      </c>
      <c r="H8" s="41">
        <f t="shared" si="8"/>
        <v>43477</v>
      </c>
      <c r="I8" s="42">
        <f t="shared" si="9"/>
        <v>43478</v>
      </c>
      <c r="J8" s="15"/>
      <c r="K8" s="39">
        <f t="shared" si="10"/>
        <v>43500</v>
      </c>
      <c r="L8" s="40">
        <f t="shared" si="11"/>
        <v>43501</v>
      </c>
      <c r="M8" s="40">
        <f t="shared" si="12"/>
        <v>43502</v>
      </c>
      <c r="N8" s="40">
        <f t="shared" si="13"/>
        <v>43503</v>
      </c>
      <c r="O8" s="40">
        <f t="shared" si="14"/>
        <v>43504</v>
      </c>
      <c r="P8" s="41">
        <f t="shared" si="15"/>
        <v>43505</v>
      </c>
      <c r="Q8" s="42">
        <f t="shared" si="16"/>
        <v>43506</v>
      </c>
      <c r="R8" s="15"/>
      <c r="S8" s="39">
        <f t="shared" si="17"/>
        <v>43528</v>
      </c>
      <c r="T8" s="40">
        <f t="shared" si="18"/>
        <v>43529</v>
      </c>
      <c r="U8" s="40">
        <f t="shared" si="19"/>
        <v>43530</v>
      </c>
      <c r="V8" s="40">
        <f t="shared" si="20"/>
        <v>43531</v>
      </c>
      <c r="W8" s="40">
        <f t="shared" si="21"/>
        <v>43532</v>
      </c>
      <c r="X8" s="41">
        <f t="shared" si="22"/>
        <v>43533</v>
      </c>
      <c r="Y8" s="42">
        <f t="shared" si="23"/>
        <v>43534</v>
      </c>
      <c r="Z8" s="14"/>
      <c r="AA8" s="214"/>
    </row>
    <row r="9" spans="1:29" ht="20.6" customHeight="1" x14ac:dyDescent="0.3">
      <c r="A9" s="15">
        <v>3</v>
      </c>
      <c r="B9" s="8"/>
      <c r="C9" s="39">
        <f t="shared" si="3"/>
        <v>43479</v>
      </c>
      <c r="D9" s="40">
        <f t="shared" si="4"/>
        <v>43480</v>
      </c>
      <c r="E9" s="40">
        <f t="shared" si="5"/>
        <v>43481</v>
      </c>
      <c r="F9" s="40">
        <f t="shared" si="6"/>
        <v>43482</v>
      </c>
      <c r="G9" s="40">
        <f t="shared" si="7"/>
        <v>43483</v>
      </c>
      <c r="H9" s="41">
        <f t="shared" si="8"/>
        <v>43484</v>
      </c>
      <c r="I9" s="42">
        <f t="shared" si="9"/>
        <v>43485</v>
      </c>
      <c r="J9" s="15"/>
      <c r="K9" s="39">
        <f t="shared" si="10"/>
        <v>43507</v>
      </c>
      <c r="L9" s="40">
        <f t="shared" si="11"/>
        <v>43508</v>
      </c>
      <c r="M9" s="40">
        <f t="shared" si="12"/>
        <v>43509</v>
      </c>
      <c r="N9" s="40">
        <f t="shared" si="13"/>
        <v>43510</v>
      </c>
      <c r="O9" s="40">
        <f t="shared" si="14"/>
        <v>43511</v>
      </c>
      <c r="P9" s="41">
        <f t="shared" si="15"/>
        <v>43512</v>
      </c>
      <c r="Q9" s="42">
        <f t="shared" si="16"/>
        <v>43513</v>
      </c>
      <c r="R9" s="15"/>
      <c r="S9" s="39">
        <f t="shared" si="17"/>
        <v>43535</v>
      </c>
      <c r="T9" s="40">
        <f t="shared" si="18"/>
        <v>43536</v>
      </c>
      <c r="U9" s="40">
        <f t="shared" si="19"/>
        <v>43537</v>
      </c>
      <c r="V9" s="40">
        <f t="shared" si="20"/>
        <v>43538</v>
      </c>
      <c r="W9" s="40">
        <f t="shared" si="21"/>
        <v>43539</v>
      </c>
      <c r="X9" s="41">
        <f t="shared" si="22"/>
        <v>43540</v>
      </c>
      <c r="Y9" s="42">
        <f t="shared" si="23"/>
        <v>43541</v>
      </c>
      <c r="Z9" s="43"/>
      <c r="AA9" s="214"/>
      <c r="AC9" s="73"/>
    </row>
    <row r="10" spans="1:29" ht="20.6" customHeight="1" x14ac:dyDescent="0.3">
      <c r="A10" s="15">
        <v>4</v>
      </c>
      <c r="B10" s="8"/>
      <c r="C10" s="39">
        <f t="shared" si="3"/>
        <v>43486</v>
      </c>
      <c r="D10" s="40">
        <f t="shared" si="4"/>
        <v>43487</v>
      </c>
      <c r="E10" s="40">
        <f t="shared" si="5"/>
        <v>43488</v>
      </c>
      <c r="F10" s="40">
        <f t="shared" si="6"/>
        <v>43489</v>
      </c>
      <c r="G10" s="40">
        <f t="shared" si="7"/>
        <v>43490</v>
      </c>
      <c r="H10" s="41">
        <f t="shared" si="8"/>
        <v>43491</v>
      </c>
      <c r="I10" s="42">
        <f t="shared" si="9"/>
        <v>43492</v>
      </c>
      <c r="J10" s="15"/>
      <c r="K10" s="39">
        <f t="shared" si="10"/>
        <v>43514</v>
      </c>
      <c r="L10" s="40">
        <f t="shared" si="11"/>
        <v>43515</v>
      </c>
      <c r="M10" s="40">
        <f t="shared" si="12"/>
        <v>43516</v>
      </c>
      <c r="N10" s="40">
        <f t="shared" si="13"/>
        <v>43517</v>
      </c>
      <c r="O10" s="40">
        <f t="shared" si="14"/>
        <v>43518</v>
      </c>
      <c r="P10" s="41">
        <f t="shared" si="15"/>
        <v>43519</v>
      </c>
      <c r="Q10" s="42">
        <f t="shared" si="16"/>
        <v>43520</v>
      </c>
      <c r="R10" s="15"/>
      <c r="S10" s="39">
        <f t="shared" si="17"/>
        <v>43542</v>
      </c>
      <c r="T10" s="40">
        <f t="shared" si="18"/>
        <v>43543</v>
      </c>
      <c r="U10" s="40">
        <f t="shared" si="19"/>
        <v>43544</v>
      </c>
      <c r="V10" s="40">
        <f t="shared" si="20"/>
        <v>43545</v>
      </c>
      <c r="W10" s="40">
        <f t="shared" si="21"/>
        <v>43546</v>
      </c>
      <c r="X10" s="41">
        <f t="shared" si="22"/>
        <v>43547</v>
      </c>
      <c r="Y10" s="42">
        <f t="shared" si="23"/>
        <v>43548</v>
      </c>
      <c r="Z10" s="43"/>
      <c r="AA10" s="214"/>
      <c r="AC10" s="73"/>
    </row>
    <row r="11" spans="1:29" ht="20.6" customHeight="1" x14ac:dyDescent="0.3">
      <c r="A11" s="15">
        <v>5</v>
      </c>
      <c r="B11" s="8"/>
      <c r="C11" s="39">
        <f t="shared" si="3"/>
        <v>43493</v>
      </c>
      <c r="D11" s="40">
        <f t="shared" si="4"/>
        <v>43494</v>
      </c>
      <c r="E11" s="40">
        <f t="shared" si="5"/>
        <v>43495</v>
      </c>
      <c r="F11" s="40">
        <f t="shared" si="6"/>
        <v>43496</v>
      </c>
      <c r="G11" s="40">
        <f t="shared" si="7"/>
        <v>43497</v>
      </c>
      <c r="H11" s="41">
        <f t="shared" si="8"/>
        <v>43498</v>
      </c>
      <c r="I11" s="42">
        <f t="shared" si="9"/>
        <v>43499</v>
      </c>
      <c r="J11" s="15"/>
      <c r="K11" s="39">
        <f t="shared" si="10"/>
        <v>43521</v>
      </c>
      <c r="L11" s="40">
        <f t="shared" si="11"/>
        <v>43522</v>
      </c>
      <c r="M11" s="40">
        <f t="shared" si="12"/>
        <v>43523</v>
      </c>
      <c r="N11" s="40">
        <f t="shared" si="13"/>
        <v>43524</v>
      </c>
      <c r="O11" s="40">
        <f t="shared" si="14"/>
        <v>43525</v>
      </c>
      <c r="P11" s="41">
        <f t="shared" si="15"/>
        <v>43526</v>
      </c>
      <c r="Q11" s="42">
        <f t="shared" si="16"/>
        <v>43527</v>
      </c>
      <c r="R11" s="15"/>
      <c r="S11" s="39">
        <f t="shared" si="17"/>
        <v>43549</v>
      </c>
      <c r="T11" s="40">
        <f t="shared" si="18"/>
        <v>43550</v>
      </c>
      <c r="U11" s="40">
        <f t="shared" si="19"/>
        <v>43551</v>
      </c>
      <c r="V11" s="40">
        <f t="shared" si="20"/>
        <v>43552</v>
      </c>
      <c r="W11" s="40">
        <f t="shared" si="21"/>
        <v>43553</v>
      </c>
      <c r="X11" s="41">
        <f t="shared" si="22"/>
        <v>43554</v>
      </c>
      <c r="Y11" s="42">
        <f t="shared" si="23"/>
        <v>43555</v>
      </c>
      <c r="Z11" s="43"/>
      <c r="AA11" s="214"/>
    </row>
    <row r="12" spans="1:29" ht="20.6" customHeight="1" thickBot="1" x14ac:dyDescent="0.35">
      <c r="A12" s="15">
        <v>6</v>
      </c>
      <c r="B12" s="8"/>
      <c r="C12" s="45">
        <f t="shared" si="3"/>
        <v>43500</v>
      </c>
      <c r="D12" s="46">
        <f t="shared" si="4"/>
        <v>43501</v>
      </c>
      <c r="E12" s="46">
        <f t="shared" si="5"/>
        <v>43502</v>
      </c>
      <c r="F12" s="46">
        <f t="shared" si="6"/>
        <v>43503</v>
      </c>
      <c r="G12" s="46">
        <f t="shared" si="7"/>
        <v>43504</v>
      </c>
      <c r="H12" s="47">
        <f t="shared" si="8"/>
        <v>43505</v>
      </c>
      <c r="I12" s="48">
        <f t="shared" si="9"/>
        <v>43506</v>
      </c>
      <c r="J12" s="15"/>
      <c r="K12" s="45">
        <f t="shared" si="10"/>
        <v>43528</v>
      </c>
      <c r="L12" s="46">
        <f t="shared" si="11"/>
        <v>43529</v>
      </c>
      <c r="M12" s="46">
        <f t="shared" si="12"/>
        <v>43530</v>
      </c>
      <c r="N12" s="46">
        <f t="shared" si="13"/>
        <v>43531</v>
      </c>
      <c r="O12" s="46">
        <f t="shared" si="14"/>
        <v>43532</v>
      </c>
      <c r="P12" s="47">
        <f t="shared" si="15"/>
        <v>43533</v>
      </c>
      <c r="Q12" s="48">
        <f t="shared" si="16"/>
        <v>43534</v>
      </c>
      <c r="R12" s="15"/>
      <c r="S12" s="45">
        <f t="shared" si="17"/>
        <v>43556</v>
      </c>
      <c r="T12" s="46">
        <f t="shared" si="18"/>
        <v>43557</v>
      </c>
      <c r="U12" s="46">
        <f t="shared" si="19"/>
        <v>43558</v>
      </c>
      <c r="V12" s="46">
        <f t="shared" si="20"/>
        <v>43559</v>
      </c>
      <c r="W12" s="46">
        <f t="shared" si="21"/>
        <v>43560</v>
      </c>
      <c r="X12" s="47">
        <f t="shared" si="22"/>
        <v>43561</v>
      </c>
      <c r="Y12" s="48">
        <f t="shared" si="23"/>
        <v>43562</v>
      </c>
      <c r="Z12" s="43"/>
      <c r="AA12" s="214"/>
    </row>
    <row r="13" spans="1:29" ht="13.35" customHeight="1" thickBot="1" x14ac:dyDescent="0.35">
      <c r="A13" s="15"/>
      <c r="B13" s="8"/>
      <c r="C13" s="215">
        <f>DATE(Anoall,4,1)</f>
        <v>43556</v>
      </c>
      <c r="D13" s="215"/>
      <c r="E13" s="215"/>
      <c r="F13" s="215"/>
      <c r="G13" s="215"/>
      <c r="H13" s="215"/>
      <c r="I13" s="215"/>
      <c r="J13" s="15"/>
      <c r="K13" s="215">
        <f>DATE(Anoall,5,1)</f>
        <v>43586</v>
      </c>
      <c r="L13" s="215"/>
      <c r="M13" s="215"/>
      <c r="N13" s="215"/>
      <c r="O13" s="215"/>
      <c r="P13" s="215"/>
      <c r="Q13" s="215"/>
      <c r="R13" s="15"/>
      <c r="S13" s="215">
        <f>DATE(Anoall,6,1)</f>
        <v>43617</v>
      </c>
      <c r="T13" s="215"/>
      <c r="U13" s="215"/>
      <c r="V13" s="215"/>
      <c r="W13" s="215"/>
      <c r="X13" s="215"/>
      <c r="Y13" s="215"/>
      <c r="Z13" s="49"/>
      <c r="AA13" s="214"/>
    </row>
    <row r="14" spans="1:29" s="20" customFormat="1" ht="20.6" customHeight="1" thickBot="1" x14ac:dyDescent="0.35">
      <c r="A14" s="10"/>
      <c r="B14" s="17"/>
      <c r="C14" s="216" t="str">
        <f>CHOOSE(MONTH(C4),"AVRIL")</f>
        <v>AVRIL</v>
      </c>
      <c r="D14" s="217"/>
      <c r="E14" s="217"/>
      <c r="F14" s="217"/>
      <c r="G14" s="217"/>
      <c r="H14" s="217"/>
      <c r="I14" s="218"/>
      <c r="J14" s="10"/>
      <c r="K14" s="216" t="str">
        <f>CHOOSE(MONTH(C4),"MAI")</f>
        <v>MAI</v>
      </c>
      <c r="L14" s="217"/>
      <c r="M14" s="217"/>
      <c r="N14" s="217"/>
      <c r="O14" s="217"/>
      <c r="P14" s="217"/>
      <c r="Q14" s="218"/>
      <c r="R14" s="10"/>
      <c r="S14" s="216" t="str">
        <f>CHOOSE(MONTH(C4),"JUIN")</f>
        <v>JUIN</v>
      </c>
      <c r="T14" s="217"/>
      <c r="U14" s="217"/>
      <c r="V14" s="217"/>
      <c r="W14" s="217"/>
      <c r="X14" s="217"/>
      <c r="Y14" s="218"/>
      <c r="Z14" s="50"/>
      <c r="AA14" s="214"/>
    </row>
    <row r="15" spans="1:29" s="20" customFormat="1" ht="16.350000000000001" customHeight="1" thickBot="1" x14ac:dyDescent="0.35">
      <c r="A15" s="10"/>
      <c r="B15" s="51"/>
      <c r="C15" s="74" t="str">
        <f t="shared" ref="C15:I15" si="24">CHOOSE(COLUMN(A$1)+(Débutsemall="Lundi"),"Di","Lu","Ma","Me","Je","Ve","Sa","Di")</f>
        <v>Lu</v>
      </c>
      <c r="D15" s="74" t="str">
        <f t="shared" si="24"/>
        <v>Ma</v>
      </c>
      <c r="E15" s="74" t="str">
        <f t="shared" si="24"/>
        <v>Me</v>
      </c>
      <c r="F15" s="74" t="str">
        <f t="shared" si="24"/>
        <v>Je</v>
      </c>
      <c r="G15" s="74" t="str">
        <f t="shared" si="24"/>
        <v>Ve</v>
      </c>
      <c r="H15" s="80" t="str">
        <f t="shared" si="24"/>
        <v>Sa</v>
      </c>
      <c r="I15" s="80" t="str">
        <f t="shared" si="24"/>
        <v>Di</v>
      </c>
      <c r="J15" s="27"/>
      <c r="K15" s="74" t="str">
        <f t="shared" ref="K15:Q15" si="25">CHOOSE(COLUMN(A$1)+(Débutsemall="Lundi"),"Di","Lu","Ma","Me","Je","Ve","Sa","Di")</f>
        <v>Lu</v>
      </c>
      <c r="L15" s="74" t="str">
        <f t="shared" si="25"/>
        <v>Ma</v>
      </c>
      <c r="M15" s="74" t="str">
        <f t="shared" si="25"/>
        <v>Me</v>
      </c>
      <c r="N15" s="74" t="str">
        <f t="shared" si="25"/>
        <v>Je</v>
      </c>
      <c r="O15" s="74" t="str">
        <f t="shared" si="25"/>
        <v>Ve</v>
      </c>
      <c r="P15" s="80" t="str">
        <f t="shared" si="25"/>
        <v>Sa</v>
      </c>
      <c r="Q15" s="80" t="str">
        <f t="shared" si="25"/>
        <v>Di</v>
      </c>
      <c r="R15" s="27"/>
      <c r="S15" s="74" t="str">
        <f t="shared" ref="S15:Y15" si="26">CHOOSE(COLUMN(A$1)+(Débutsemall="Lundi"),"Di","Lu","Ma","Me","Je","Ve","Sa","Di")</f>
        <v>Lu</v>
      </c>
      <c r="T15" s="74" t="str">
        <f t="shared" si="26"/>
        <v>Ma</v>
      </c>
      <c r="U15" s="74" t="str">
        <f t="shared" si="26"/>
        <v>Me</v>
      </c>
      <c r="V15" s="74" t="str">
        <f t="shared" si="26"/>
        <v>Je</v>
      </c>
      <c r="W15" s="74" t="str">
        <f t="shared" si="26"/>
        <v>Ve</v>
      </c>
      <c r="X15" s="80" t="str">
        <f t="shared" si="26"/>
        <v>Sa</v>
      </c>
      <c r="Y15" s="80" t="str">
        <f t="shared" si="26"/>
        <v>Di</v>
      </c>
      <c r="Z15" s="52"/>
      <c r="AA15" s="214"/>
    </row>
    <row r="16" spans="1:29" ht="20.6" customHeight="1" x14ac:dyDescent="0.3">
      <c r="A16" s="15"/>
      <c r="B16" s="8"/>
      <c r="C16" s="35">
        <f t="shared" ref="C16:C21" si="27">DATE(Anoall,MONTH($C$13),1)-WEEKDAY(DATE(Anoall,MONTH($C$13),1),(Débutsemall="Lundi")+1)+$A7*7-6</f>
        <v>43556</v>
      </c>
      <c r="D16" s="36">
        <f t="shared" ref="D16:D21" si="28">DATE(Anoall,MONTH($C$13),1)-WEEKDAY(DATE(Anoall,MONTH($C$13),1),(Débutsemall="Lundi")+1)+$A7*7-5</f>
        <v>43557</v>
      </c>
      <c r="E16" s="36">
        <f t="shared" ref="E16:E21" si="29">DATE(Anoall,MONTH($C$13),1)-WEEKDAY(DATE(Anoall,MONTH($C$13),1),(Débutsemall="Lundi")+1)+$A7*7-4</f>
        <v>43558</v>
      </c>
      <c r="F16" s="36">
        <f t="shared" ref="F16:F21" si="30">DATE(Anoall,MONTH($C$13),1)-WEEKDAY(DATE(Anoall,MONTH($C$13),1),(Débutsemall="Lundi")+1)+$A7*7-3</f>
        <v>43559</v>
      </c>
      <c r="G16" s="36">
        <f t="shared" ref="G16:G21" si="31">DATE(Anoall,MONTH($C$13),1)-WEEKDAY(DATE(Anoall,MONTH($C$13),1),(Débutsemall="Lundi")+1)+$A7*7-2</f>
        <v>43560</v>
      </c>
      <c r="H16" s="37">
        <f t="shared" ref="H16:H21" si="32">DATE(Anoall,MONTH($C$13),1)-WEEKDAY(DATE(Anoall,MONTH($C$13),1),(Débutsemall="Lundi")+1)+$A7*7-1</f>
        <v>43561</v>
      </c>
      <c r="I16" s="38">
        <f t="shared" ref="I16:I21" si="33">DATE(Anoall,MONTH($C$13),1)-WEEKDAY(DATE(Anoall,MONTH($C$13),1),(Débutsemall="Lundi")+1)+$A7*7</f>
        <v>43562</v>
      </c>
      <c r="J16" s="15"/>
      <c r="K16" s="35">
        <f t="shared" ref="K16:K21" si="34">DATE(Anoall,MONTH($K$13),1)-WEEKDAY(DATE(Anoall,MONTH($K$13),1),(Débutsemall="Lundi")+1)+$A7*7-6</f>
        <v>43584</v>
      </c>
      <c r="L16" s="36">
        <f t="shared" ref="L16:L21" si="35">DATE(Anoall,MONTH($K$13),1)-WEEKDAY(DATE(Anoall,MONTH($K$13),1),(Débutsemall="Lundi")+1)+$A7*7-5</f>
        <v>43585</v>
      </c>
      <c r="M16" s="36">
        <f t="shared" ref="M16:M21" si="36">DATE(Anoall,MONTH($K$13),1)-WEEKDAY(DATE(Anoall,MONTH($K$13),1),(Débutsemall="Lundi")+1)+$A7*7-4</f>
        <v>43586</v>
      </c>
      <c r="N16" s="36">
        <f t="shared" ref="N16:N21" si="37">DATE(Anoall,MONTH($K$13),1)-WEEKDAY(DATE(Anoall,MONTH($K$13),1),(Débutsemall="Lundi")+1)+$A7*7-3</f>
        <v>43587</v>
      </c>
      <c r="O16" s="36">
        <f t="shared" ref="O16:O21" si="38">DATE(Anoall,MONTH($K$13),1)-WEEKDAY(DATE(Anoall,MONTH($K$13),1),(Débutsemall="Lundi")+1)+$A7*7-2</f>
        <v>43588</v>
      </c>
      <c r="P16" s="37">
        <f t="shared" ref="P16:P21" si="39">DATE(Anoall,MONTH($K$13),1)-WEEKDAY(DATE(Anoall,MONTH($K$13),1),(Débutsemall="Lundi")+1)+$A7*7-1</f>
        <v>43589</v>
      </c>
      <c r="Q16" s="38">
        <f t="shared" ref="Q16:Q21" si="40">DATE(Anoall,MONTH($K$13),1)-WEEKDAY(DATE(Anoall,MONTH($K$13),1),(Débutsemall="Lundi")+1)+$A7*7</f>
        <v>43590</v>
      </c>
      <c r="R16" s="15"/>
      <c r="S16" s="35">
        <f t="shared" ref="S16:S21" si="41">DATE(Anoall,MONTH($S$13),1)-WEEKDAY(DATE(Anoall,MONTH($S$13),1),(Débutsemall="Lundi")+1)+$A7*7-6</f>
        <v>43612</v>
      </c>
      <c r="T16" s="36">
        <f t="shared" ref="T16:T21" si="42">DATE(Anoall,MONTH($S$13),1)-WEEKDAY(DATE(Anoall,MONTH($S$13),1),(Débutsemall="Lundi")+1)+$A7*7-5</f>
        <v>43613</v>
      </c>
      <c r="U16" s="36">
        <f t="shared" ref="U16:U21" si="43">DATE(Anoall,MONTH($S$13),1)-WEEKDAY(DATE(Anoall,MONTH($S$13),1),(Débutsemall="Lundi")+1)+$A7*7-4</f>
        <v>43614</v>
      </c>
      <c r="V16" s="36">
        <f t="shared" ref="V16:V21" si="44">DATE(Anoall,MONTH($S$13),1)-WEEKDAY(DATE(Anoall,MONTH($S$13),1),(Débutsemall="Lundi")+1)+$A7*7-3</f>
        <v>43615</v>
      </c>
      <c r="W16" s="36">
        <f t="shared" ref="W16:W21" si="45">DATE(Anoall,MONTH($S$13),1)-WEEKDAY(DATE(Anoall,MONTH($S$13),1),(Débutsemall="Lundi")+1)+$A7*7-2</f>
        <v>43616</v>
      </c>
      <c r="X16" s="37">
        <f t="shared" ref="X16:X21" si="46">DATE(Anoall,MONTH($S$13),1)-WEEKDAY(DATE(Anoall,MONTH($S$13),1),(Débutsemall="Lundi")+1)+$A7*7-1</f>
        <v>43617</v>
      </c>
      <c r="Y16" s="38">
        <f t="shared" ref="Y16:Y21" si="47">DATE(Anoall,MONTH($S$13),1)-WEEKDAY(DATE(Anoall,MONTH($S$13),1),(Débutsemall="Lundi")+1)+$A7*7</f>
        <v>43618</v>
      </c>
      <c r="Z16" s="14"/>
      <c r="AA16" s="214"/>
    </row>
    <row r="17" spans="1:27" ht="20.6" customHeight="1" x14ac:dyDescent="0.3">
      <c r="A17" s="15"/>
      <c r="B17" s="8"/>
      <c r="C17" s="39">
        <f t="shared" si="27"/>
        <v>43563</v>
      </c>
      <c r="D17" s="40">
        <f t="shared" si="28"/>
        <v>43564</v>
      </c>
      <c r="E17" s="40">
        <f t="shared" si="29"/>
        <v>43565</v>
      </c>
      <c r="F17" s="40">
        <f t="shared" si="30"/>
        <v>43566</v>
      </c>
      <c r="G17" s="40">
        <f t="shared" si="31"/>
        <v>43567</v>
      </c>
      <c r="H17" s="41">
        <f t="shared" si="32"/>
        <v>43568</v>
      </c>
      <c r="I17" s="42">
        <f t="shared" si="33"/>
        <v>43569</v>
      </c>
      <c r="J17" s="15"/>
      <c r="K17" s="39">
        <f t="shared" si="34"/>
        <v>43591</v>
      </c>
      <c r="L17" s="40">
        <f t="shared" si="35"/>
        <v>43592</v>
      </c>
      <c r="M17" s="40">
        <f t="shared" si="36"/>
        <v>43593</v>
      </c>
      <c r="N17" s="40">
        <f t="shared" si="37"/>
        <v>43594</v>
      </c>
      <c r="O17" s="40">
        <f t="shared" si="38"/>
        <v>43595</v>
      </c>
      <c r="P17" s="41">
        <f t="shared" si="39"/>
        <v>43596</v>
      </c>
      <c r="Q17" s="42">
        <f t="shared" si="40"/>
        <v>43597</v>
      </c>
      <c r="R17" s="15"/>
      <c r="S17" s="39">
        <f t="shared" si="41"/>
        <v>43619</v>
      </c>
      <c r="T17" s="40">
        <f t="shared" si="42"/>
        <v>43620</v>
      </c>
      <c r="U17" s="40">
        <f t="shared" si="43"/>
        <v>43621</v>
      </c>
      <c r="V17" s="40">
        <f t="shared" si="44"/>
        <v>43622</v>
      </c>
      <c r="W17" s="40">
        <f t="shared" si="45"/>
        <v>43623</v>
      </c>
      <c r="X17" s="41">
        <f t="shared" si="46"/>
        <v>43624</v>
      </c>
      <c r="Y17" s="42">
        <f t="shared" si="47"/>
        <v>43625</v>
      </c>
      <c r="Z17" s="14"/>
      <c r="AA17" s="214"/>
    </row>
    <row r="18" spans="1:27" ht="20.6" customHeight="1" x14ac:dyDescent="0.3">
      <c r="A18" s="15"/>
      <c r="B18" s="8"/>
      <c r="C18" s="39">
        <f t="shared" si="27"/>
        <v>43570</v>
      </c>
      <c r="D18" s="40">
        <f t="shared" si="28"/>
        <v>43571</v>
      </c>
      <c r="E18" s="40">
        <f t="shared" si="29"/>
        <v>43572</v>
      </c>
      <c r="F18" s="40">
        <f t="shared" si="30"/>
        <v>43573</v>
      </c>
      <c r="G18" s="40">
        <f t="shared" si="31"/>
        <v>43574</v>
      </c>
      <c r="H18" s="41">
        <f t="shared" si="32"/>
        <v>43575</v>
      </c>
      <c r="I18" s="42">
        <f t="shared" si="33"/>
        <v>43576</v>
      </c>
      <c r="J18" s="15"/>
      <c r="K18" s="39">
        <f t="shared" si="34"/>
        <v>43598</v>
      </c>
      <c r="L18" s="40">
        <f t="shared" si="35"/>
        <v>43599</v>
      </c>
      <c r="M18" s="40">
        <f t="shared" si="36"/>
        <v>43600</v>
      </c>
      <c r="N18" s="40">
        <f t="shared" si="37"/>
        <v>43601</v>
      </c>
      <c r="O18" s="40">
        <f t="shared" si="38"/>
        <v>43602</v>
      </c>
      <c r="P18" s="41">
        <f t="shared" si="39"/>
        <v>43603</v>
      </c>
      <c r="Q18" s="42">
        <f t="shared" si="40"/>
        <v>43604</v>
      </c>
      <c r="R18" s="15"/>
      <c r="S18" s="39">
        <f t="shared" si="41"/>
        <v>43626</v>
      </c>
      <c r="T18" s="40">
        <f t="shared" si="42"/>
        <v>43627</v>
      </c>
      <c r="U18" s="40">
        <f t="shared" si="43"/>
        <v>43628</v>
      </c>
      <c r="V18" s="40">
        <f t="shared" si="44"/>
        <v>43629</v>
      </c>
      <c r="W18" s="40">
        <f t="shared" si="45"/>
        <v>43630</v>
      </c>
      <c r="X18" s="41">
        <f t="shared" si="46"/>
        <v>43631</v>
      </c>
      <c r="Y18" s="42">
        <f t="shared" si="47"/>
        <v>43632</v>
      </c>
      <c r="Z18" s="14"/>
      <c r="AA18" s="214"/>
    </row>
    <row r="19" spans="1:27" ht="20.6" customHeight="1" x14ac:dyDescent="0.3">
      <c r="A19" s="15"/>
      <c r="B19" s="8"/>
      <c r="C19" s="39">
        <f t="shared" si="27"/>
        <v>43577</v>
      </c>
      <c r="D19" s="40">
        <f t="shared" si="28"/>
        <v>43578</v>
      </c>
      <c r="E19" s="40">
        <f t="shared" si="29"/>
        <v>43579</v>
      </c>
      <c r="F19" s="40">
        <f t="shared" si="30"/>
        <v>43580</v>
      </c>
      <c r="G19" s="40">
        <f t="shared" si="31"/>
        <v>43581</v>
      </c>
      <c r="H19" s="41">
        <f t="shared" si="32"/>
        <v>43582</v>
      </c>
      <c r="I19" s="42">
        <f t="shared" si="33"/>
        <v>43583</v>
      </c>
      <c r="J19" s="15"/>
      <c r="K19" s="39">
        <f t="shared" si="34"/>
        <v>43605</v>
      </c>
      <c r="L19" s="40">
        <f t="shared" si="35"/>
        <v>43606</v>
      </c>
      <c r="M19" s="40">
        <f t="shared" si="36"/>
        <v>43607</v>
      </c>
      <c r="N19" s="40">
        <f t="shared" si="37"/>
        <v>43608</v>
      </c>
      <c r="O19" s="40">
        <f t="shared" si="38"/>
        <v>43609</v>
      </c>
      <c r="P19" s="41">
        <f t="shared" si="39"/>
        <v>43610</v>
      </c>
      <c r="Q19" s="42">
        <f t="shared" si="40"/>
        <v>43611</v>
      </c>
      <c r="R19" s="15"/>
      <c r="S19" s="39">
        <f t="shared" si="41"/>
        <v>43633</v>
      </c>
      <c r="T19" s="40">
        <f t="shared" si="42"/>
        <v>43634</v>
      </c>
      <c r="U19" s="40">
        <f t="shared" si="43"/>
        <v>43635</v>
      </c>
      <c r="V19" s="40">
        <f t="shared" si="44"/>
        <v>43636</v>
      </c>
      <c r="W19" s="40">
        <f t="shared" si="45"/>
        <v>43637</v>
      </c>
      <c r="X19" s="41">
        <f t="shared" si="46"/>
        <v>43638</v>
      </c>
      <c r="Y19" s="42">
        <f t="shared" si="47"/>
        <v>43639</v>
      </c>
      <c r="Z19" s="14"/>
      <c r="AA19" s="214"/>
    </row>
    <row r="20" spans="1:27" ht="20.6" customHeight="1" x14ac:dyDescent="0.3">
      <c r="A20" s="15"/>
      <c r="B20" s="8"/>
      <c r="C20" s="39">
        <f t="shared" si="27"/>
        <v>43584</v>
      </c>
      <c r="D20" s="40">
        <f t="shared" si="28"/>
        <v>43585</v>
      </c>
      <c r="E20" s="40">
        <f t="shared" si="29"/>
        <v>43586</v>
      </c>
      <c r="F20" s="40">
        <f t="shared" si="30"/>
        <v>43587</v>
      </c>
      <c r="G20" s="40">
        <f t="shared" si="31"/>
        <v>43588</v>
      </c>
      <c r="H20" s="41">
        <f t="shared" si="32"/>
        <v>43589</v>
      </c>
      <c r="I20" s="42">
        <f t="shared" si="33"/>
        <v>43590</v>
      </c>
      <c r="J20" s="15"/>
      <c r="K20" s="39">
        <f t="shared" si="34"/>
        <v>43612</v>
      </c>
      <c r="L20" s="40">
        <f t="shared" si="35"/>
        <v>43613</v>
      </c>
      <c r="M20" s="40">
        <f t="shared" si="36"/>
        <v>43614</v>
      </c>
      <c r="N20" s="40">
        <f t="shared" si="37"/>
        <v>43615</v>
      </c>
      <c r="O20" s="40">
        <f t="shared" si="38"/>
        <v>43616</v>
      </c>
      <c r="P20" s="41">
        <f t="shared" si="39"/>
        <v>43617</v>
      </c>
      <c r="Q20" s="42">
        <f t="shared" si="40"/>
        <v>43618</v>
      </c>
      <c r="R20" s="15"/>
      <c r="S20" s="39">
        <f t="shared" si="41"/>
        <v>43640</v>
      </c>
      <c r="T20" s="40">
        <f t="shared" si="42"/>
        <v>43641</v>
      </c>
      <c r="U20" s="40">
        <f t="shared" si="43"/>
        <v>43642</v>
      </c>
      <c r="V20" s="40">
        <f t="shared" si="44"/>
        <v>43643</v>
      </c>
      <c r="W20" s="40">
        <f t="shared" si="45"/>
        <v>43644</v>
      </c>
      <c r="X20" s="41">
        <f t="shared" si="46"/>
        <v>43645</v>
      </c>
      <c r="Y20" s="42">
        <f t="shared" si="47"/>
        <v>43646</v>
      </c>
      <c r="Z20" s="14"/>
      <c r="AA20" s="214"/>
    </row>
    <row r="21" spans="1:27" ht="20.6" customHeight="1" thickBot="1" x14ac:dyDescent="0.35">
      <c r="A21" s="15"/>
      <c r="B21" s="8"/>
      <c r="C21" s="45">
        <f t="shared" si="27"/>
        <v>43591</v>
      </c>
      <c r="D21" s="46">
        <f t="shared" si="28"/>
        <v>43592</v>
      </c>
      <c r="E21" s="46">
        <f t="shared" si="29"/>
        <v>43593</v>
      </c>
      <c r="F21" s="46">
        <f t="shared" si="30"/>
        <v>43594</v>
      </c>
      <c r="G21" s="46">
        <f t="shared" si="31"/>
        <v>43595</v>
      </c>
      <c r="H21" s="47">
        <f t="shared" si="32"/>
        <v>43596</v>
      </c>
      <c r="I21" s="48">
        <f t="shared" si="33"/>
        <v>43597</v>
      </c>
      <c r="J21" s="15"/>
      <c r="K21" s="45">
        <f t="shared" si="34"/>
        <v>43619</v>
      </c>
      <c r="L21" s="46">
        <f t="shared" si="35"/>
        <v>43620</v>
      </c>
      <c r="M21" s="46">
        <f t="shared" si="36"/>
        <v>43621</v>
      </c>
      <c r="N21" s="46">
        <f t="shared" si="37"/>
        <v>43622</v>
      </c>
      <c r="O21" s="46">
        <f t="shared" si="38"/>
        <v>43623</v>
      </c>
      <c r="P21" s="47">
        <f t="shared" si="39"/>
        <v>43624</v>
      </c>
      <c r="Q21" s="48">
        <f t="shared" si="40"/>
        <v>43625</v>
      </c>
      <c r="R21" s="15"/>
      <c r="S21" s="45">
        <f t="shared" si="41"/>
        <v>43647</v>
      </c>
      <c r="T21" s="46">
        <f t="shared" si="42"/>
        <v>43648</v>
      </c>
      <c r="U21" s="46">
        <f t="shared" si="43"/>
        <v>43649</v>
      </c>
      <c r="V21" s="46">
        <f t="shared" si="44"/>
        <v>43650</v>
      </c>
      <c r="W21" s="46">
        <f t="shared" si="45"/>
        <v>43651</v>
      </c>
      <c r="X21" s="47">
        <f t="shared" si="46"/>
        <v>43652</v>
      </c>
      <c r="Y21" s="48">
        <f t="shared" si="47"/>
        <v>43653</v>
      </c>
      <c r="Z21" s="14"/>
      <c r="AA21" s="214"/>
    </row>
    <row r="22" spans="1:27" ht="13.35" customHeight="1" thickBot="1" x14ac:dyDescent="0.35">
      <c r="A22" s="15"/>
      <c r="B22" s="8"/>
      <c r="C22" s="215">
        <f>DATE(Anoall,7,1)</f>
        <v>43647</v>
      </c>
      <c r="D22" s="215"/>
      <c r="E22" s="215"/>
      <c r="F22" s="215"/>
      <c r="G22" s="215"/>
      <c r="H22" s="215"/>
      <c r="I22" s="215"/>
      <c r="J22" s="15"/>
      <c r="K22" s="215">
        <f>DATE(Anoall,8,1)</f>
        <v>43678</v>
      </c>
      <c r="L22" s="215"/>
      <c r="M22" s="215"/>
      <c r="N22" s="215"/>
      <c r="O22" s="215"/>
      <c r="P22" s="215"/>
      <c r="Q22" s="215"/>
      <c r="R22" s="15"/>
      <c r="S22" s="215">
        <f>DATE(Anoall,9,1)</f>
        <v>43709</v>
      </c>
      <c r="T22" s="215"/>
      <c r="U22" s="215"/>
      <c r="V22" s="215"/>
      <c r="W22" s="215"/>
      <c r="X22" s="215"/>
      <c r="Y22" s="215"/>
      <c r="Z22" s="7"/>
      <c r="AA22" s="214"/>
    </row>
    <row r="23" spans="1:27" s="20" customFormat="1" ht="20.6" customHeight="1" thickBot="1" x14ac:dyDescent="0.35">
      <c r="A23" s="10"/>
      <c r="B23" s="17"/>
      <c r="C23" s="216" t="str">
        <f>CHOOSE(MONTH(C4),"JUILLET")</f>
        <v>JUILLET</v>
      </c>
      <c r="D23" s="217"/>
      <c r="E23" s="217"/>
      <c r="F23" s="217"/>
      <c r="G23" s="217"/>
      <c r="H23" s="217"/>
      <c r="I23" s="218"/>
      <c r="J23" s="10"/>
      <c r="K23" s="216" t="str">
        <f>CHOOSE(MONTH(C4),"AOÛT")</f>
        <v>AOÛT</v>
      </c>
      <c r="L23" s="217"/>
      <c r="M23" s="217"/>
      <c r="N23" s="217"/>
      <c r="O23" s="217"/>
      <c r="P23" s="217"/>
      <c r="Q23" s="218"/>
      <c r="R23" s="10"/>
      <c r="S23" s="219" t="str">
        <f>CHOOSE(MONTH(C4),"SEPTEMBRE")</f>
        <v>SEPTEMBRE</v>
      </c>
      <c r="T23" s="220"/>
      <c r="U23" s="220"/>
      <c r="V23" s="220"/>
      <c r="W23" s="220"/>
      <c r="X23" s="220"/>
      <c r="Y23" s="218"/>
      <c r="Z23" s="19"/>
      <c r="AA23" s="214"/>
    </row>
    <row r="24" spans="1:27" s="20" customFormat="1" ht="16.350000000000001" customHeight="1" thickBot="1" x14ac:dyDescent="0.35">
      <c r="A24" s="10"/>
      <c r="B24" s="51"/>
      <c r="C24" s="74" t="str">
        <f t="shared" ref="C24:I24" si="48">CHOOSE(COLUMN(A$1)+(Débutsemall="Lundi"),"Di","Lu","Ma","Me","Je","Ve","Sa","Di")</f>
        <v>Lu</v>
      </c>
      <c r="D24" s="74" t="str">
        <f t="shared" si="48"/>
        <v>Ma</v>
      </c>
      <c r="E24" s="74" t="str">
        <f t="shared" si="48"/>
        <v>Me</v>
      </c>
      <c r="F24" s="74" t="str">
        <f t="shared" si="48"/>
        <v>Je</v>
      </c>
      <c r="G24" s="74" t="str">
        <f t="shared" si="48"/>
        <v>Ve</v>
      </c>
      <c r="H24" s="80" t="str">
        <f t="shared" si="48"/>
        <v>Sa</v>
      </c>
      <c r="I24" s="80" t="str">
        <f t="shared" si="48"/>
        <v>Di</v>
      </c>
      <c r="J24" s="27"/>
      <c r="K24" s="74" t="str">
        <f t="shared" ref="K24:Q24" si="49">CHOOSE(COLUMN(A$1)+(Débutsemall="Lundi"),"Di","Lu","Ma","Me","Je","Ve","Sa","Di")</f>
        <v>Lu</v>
      </c>
      <c r="L24" s="74" t="str">
        <f t="shared" si="49"/>
        <v>Ma</v>
      </c>
      <c r="M24" s="74" t="str">
        <f t="shared" si="49"/>
        <v>Me</v>
      </c>
      <c r="N24" s="74" t="str">
        <f t="shared" si="49"/>
        <v>Je</v>
      </c>
      <c r="O24" s="74" t="str">
        <f t="shared" si="49"/>
        <v>Ve</v>
      </c>
      <c r="P24" s="80" t="str">
        <f t="shared" si="49"/>
        <v>Sa</v>
      </c>
      <c r="Q24" s="80" t="str">
        <f t="shared" si="49"/>
        <v>Di</v>
      </c>
      <c r="R24" s="44"/>
      <c r="S24" s="76" t="str">
        <f t="shared" ref="S24:Y24" si="50">CHOOSE(COLUMN(A$1)+(Débutsemall="Lundi"),"Di","Lu","Ma","Me","Je","Ve","Sa","Di")</f>
        <v>Lu</v>
      </c>
      <c r="T24" s="76" t="str">
        <f t="shared" si="50"/>
        <v>Ma</v>
      </c>
      <c r="U24" s="76" t="str">
        <f t="shared" si="50"/>
        <v>Me</v>
      </c>
      <c r="V24" s="76" t="str">
        <f t="shared" si="50"/>
        <v>Je</v>
      </c>
      <c r="W24" s="76" t="str">
        <f t="shared" si="50"/>
        <v>Ve</v>
      </c>
      <c r="X24" s="117" t="str">
        <f t="shared" si="50"/>
        <v>Sa</v>
      </c>
      <c r="Y24" s="117" t="str">
        <f t="shared" si="50"/>
        <v>Di</v>
      </c>
      <c r="Z24" s="57"/>
      <c r="AA24" s="214"/>
    </row>
    <row r="25" spans="1:27" ht="20.6" customHeight="1" x14ac:dyDescent="0.3">
      <c r="A25" s="15">
        <v>1</v>
      </c>
      <c r="B25" s="8"/>
      <c r="C25" s="35">
        <f t="shared" ref="C25:C30" si="51">DATE(Anoall,MONTH($C$22),1)-WEEKDAY(DATE(Anoall,MONTH($C$22),1),(Débutsemall="Lundi")+1)+$A7*7-6</f>
        <v>43647</v>
      </c>
      <c r="D25" s="36">
        <f t="shared" ref="D25:D30" si="52">DATE(Anoall,MONTH($C$22),1)-WEEKDAY(DATE(Anoall,MONTH($C$22),1),(Débutsemall="Lundi")+1)+$A7*7-5</f>
        <v>43648</v>
      </c>
      <c r="E25" s="36">
        <f t="shared" ref="E25:E30" si="53">DATE(Anoall,MONTH($C$22),1)-WEEKDAY(DATE(Anoall,MONTH($C$22),1),(Débutsemall="Lundi")+1)+$A7*7-4</f>
        <v>43649</v>
      </c>
      <c r="F25" s="36">
        <f t="shared" ref="F25:F30" si="54">DATE(Anoall,MONTH($C$22),1)-WEEKDAY(DATE(Anoall,MONTH($C$22),1),(Débutsemall="Lundi")+1)+$A7*7-3</f>
        <v>43650</v>
      </c>
      <c r="G25" s="36">
        <f t="shared" ref="G25:G30" si="55">DATE(Anoall,MONTH($C$22),1)-WEEKDAY(DATE(Anoall,MONTH($C$22),1),(Débutsemall="Lundi")+1)+$A7*7-2</f>
        <v>43651</v>
      </c>
      <c r="H25" s="37">
        <f t="shared" ref="H25:H30" si="56">DATE(Anoall,MONTH($C$22),1)-WEEKDAY(DATE(Anoall,MONTH($C$22),1),(Débutsemall="Lundi")+1)+$A7*7-1</f>
        <v>43652</v>
      </c>
      <c r="I25" s="38">
        <f t="shared" ref="I25:I30" si="57">DATE(Anoall,MONTH($C$22),1)-WEEKDAY(DATE(Anoall,MONTH($C$22),1),(Débutsemall="Lundi")+1)+$A7*7</f>
        <v>43653</v>
      </c>
      <c r="J25" s="15"/>
      <c r="K25" s="35">
        <f t="shared" ref="K25:K30" si="58">DATE(Anoall,MONTH($K$22),1)-WEEKDAY(DATE(Anoall,MONTH($K$22),1),(Débutsemall="Lundi")+1)+$A7*7-6</f>
        <v>43675</v>
      </c>
      <c r="L25" s="36">
        <f t="shared" ref="L25:L30" si="59">DATE(Anoall,MONTH($K$22),1)-WEEKDAY(DATE(Anoall,MONTH($K$22),1),(Débutsemall="Lundi")+1)+$A7*7-5</f>
        <v>43676</v>
      </c>
      <c r="M25" s="36">
        <f t="shared" ref="M25:M30" si="60">DATE(Anoall,MONTH($K$22),1)-WEEKDAY(DATE(Anoall,MONTH($K$22),1),(Débutsemall="Lundi")+1)+$A7*7-4</f>
        <v>43677</v>
      </c>
      <c r="N25" s="36">
        <f t="shared" ref="N25:N30" si="61">DATE(Anoall,MONTH($K$22),1)-WEEKDAY(DATE(Anoall,MONTH($K$22),1),(Débutsemall="Lundi")+1)+$A7*7-3</f>
        <v>43678</v>
      </c>
      <c r="O25" s="36">
        <f t="shared" ref="O25:O30" si="62">DATE(Anoall,MONTH($K$22),1)-WEEKDAY(DATE(Anoall,MONTH($K$22),1),(Débutsemall="Lundi")+1)+$A7*7-2</f>
        <v>43679</v>
      </c>
      <c r="P25" s="37">
        <f t="shared" ref="P25:P30" si="63">DATE(Anoall,MONTH($K$22),1)-WEEKDAY(DATE(Anoall,MONTH($K$22),1),(Débutsemall="Lundi")+1)+$A7*7-1</f>
        <v>43680</v>
      </c>
      <c r="Q25" s="38">
        <f t="shared" ref="Q25:Q30" si="64">DATE(Anoall,MONTH($K$22),1)-WEEKDAY(DATE(Anoall,MONTH($K$22),1),(Débutsemall="Lundi")+1)+$A7*7</f>
        <v>43681</v>
      </c>
      <c r="R25" s="15"/>
      <c r="S25" s="35">
        <f t="shared" ref="S25:S30" si="65">DATE(Anoall,MONTH($S$22),1)-WEEKDAY(DATE(Anoall,MONTH($S$22),1),(Débutsemall="Lundi")+1)+$A7*7-6</f>
        <v>43703</v>
      </c>
      <c r="T25" s="36">
        <f t="shared" ref="T25:T30" si="66">DATE(Anoall,MONTH($S$22),1)-WEEKDAY(DATE(Anoall,MONTH($S$22),1),(Débutsemall="Lundi")+1)+$A7*7-5</f>
        <v>43704</v>
      </c>
      <c r="U25" s="36">
        <f t="shared" ref="U25:U30" si="67">DATE(Anoall,MONTH($S$22),1)-WEEKDAY(DATE(Anoall,MONTH($S$22),1),(Débutsemall="Lundi")+1)+$A7*7-4</f>
        <v>43705</v>
      </c>
      <c r="V25" s="36">
        <f t="shared" ref="V25:V30" si="68">DATE(Anoall,MONTH($S$22),1)-WEEKDAY(DATE(Anoall,MONTH($S$22),1),(Débutsemall="Lundi")+1)+$A7*7-3</f>
        <v>43706</v>
      </c>
      <c r="W25" s="36">
        <f t="shared" ref="W25:W30" si="69">DATE(Anoall,MONTH($S$22),1)-WEEKDAY(DATE(Anoall,MONTH($S$22),1),(Débutsemall="Lundi")+1)+$A7*7-2</f>
        <v>43707</v>
      </c>
      <c r="X25" s="37">
        <f t="shared" ref="X25:X30" si="70">DATE(Anoall,MONTH($S$22),1)-WEEKDAY(DATE(Anoall,MONTH($S$22),1),(Débutsemall="Lundi")+1)+$A7*7-1</f>
        <v>43708</v>
      </c>
      <c r="Y25" s="38">
        <f t="shared" ref="Y25:Y30" si="71">DATE(Anoall,MONTH($S$22),1)-WEEKDAY(DATE(Anoall,MONTH($S$22),1),(Débutsemall="Lundi")+1)+$A7*7</f>
        <v>43709</v>
      </c>
      <c r="Z25" s="14"/>
      <c r="AA25" s="214"/>
    </row>
    <row r="26" spans="1:27" ht="20.6" customHeight="1" x14ac:dyDescent="0.3">
      <c r="A26" s="15">
        <v>2</v>
      </c>
      <c r="B26" s="8"/>
      <c r="C26" s="39">
        <f t="shared" si="51"/>
        <v>43654</v>
      </c>
      <c r="D26" s="40">
        <f t="shared" si="52"/>
        <v>43655</v>
      </c>
      <c r="E26" s="40">
        <f t="shared" si="53"/>
        <v>43656</v>
      </c>
      <c r="F26" s="40">
        <f t="shared" si="54"/>
        <v>43657</v>
      </c>
      <c r="G26" s="40">
        <f t="shared" si="55"/>
        <v>43658</v>
      </c>
      <c r="H26" s="41">
        <f t="shared" si="56"/>
        <v>43659</v>
      </c>
      <c r="I26" s="42">
        <f t="shared" si="57"/>
        <v>43660</v>
      </c>
      <c r="J26" s="15"/>
      <c r="K26" s="39">
        <f t="shared" si="58"/>
        <v>43682</v>
      </c>
      <c r="L26" s="40">
        <f t="shared" si="59"/>
        <v>43683</v>
      </c>
      <c r="M26" s="40">
        <f t="shared" si="60"/>
        <v>43684</v>
      </c>
      <c r="N26" s="40">
        <f t="shared" si="61"/>
        <v>43685</v>
      </c>
      <c r="O26" s="40">
        <f t="shared" si="62"/>
        <v>43686</v>
      </c>
      <c r="P26" s="41">
        <f t="shared" si="63"/>
        <v>43687</v>
      </c>
      <c r="Q26" s="42">
        <f t="shared" si="64"/>
        <v>43688</v>
      </c>
      <c r="R26" s="15"/>
      <c r="S26" s="39">
        <f t="shared" si="65"/>
        <v>43710</v>
      </c>
      <c r="T26" s="40">
        <f t="shared" si="66"/>
        <v>43711</v>
      </c>
      <c r="U26" s="40">
        <f t="shared" si="67"/>
        <v>43712</v>
      </c>
      <c r="V26" s="40">
        <f t="shared" si="68"/>
        <v>43713</v>
      </c>
      <c r="W26" s="40">
        <f t="shared" si="69"/>
        <v>43714</v>
      </c>
      <c r="X26" s="41">
        <f t="shared" si="70"/>
        <v>43715</v>
      </c>
      <c r="Y26" s="42">
        <f t="shared" si="71"/>
        <v>43716</v>
      </c>
      <c r="Z26" s="14"/>
      <c r="AA26" s="214"/>
    </row>
    <row r="27" spans="1:27" ht="20.6" customHeight="1" x14ac:dyDescent="0.3">
      <c r="A27" s="15">
        <v>3</v>
      </c>
      <c r="B27" s="8"/>
      <c r="C27" s="39">
        <f t="shared" si="51"/>
        <v>43661</v>
      </c>
      <c r="D27" s="40">
        <f t="shared" si="52"/>
        <v>43662</v>
      </c>
      <c r="E27" s="40">
        <f t="shared" si="53"/>
        <v>43663</v>
      </c>
      <c r="F27" s="40">
        <f t="shared" si="54"/>
        <v>43664</v>
      </c>
      <c r="G27" s="40">
        <f t="shared" si="55"/>
        <v>43665</v>
      </c>
      <c r="H27" s="41">
        <f t="shared" si="56"/>
        <v>43666</v>
      </c>
      <c r="I27" s="42">
        <f t="shared" si="57"/>
        <v>43667</v>
      </c>
      <c r="J27" s="15"/>
      <c r="K27" s="39">
        <f t="shared" si="58"/>
        <v>43689</v>
      </c>
      <c r="L27" s="40">
        <f t="shared" si="59"/>
        <v>43690</v>
      </c>
      <c r="M27" s="40">
        <f t="shared" si="60"/>
        <v>43691</v>
      </c>
      <c r="N27" s="40">
        <f t="shared" si="61"/>
        <v>43692</v>
      </c>
      <c r="O27" s="40">
        <f t="shared" si="62"/>
        <v>43693</v>
      </c>
      <c r="P27" s="41">
        <f t="shared" si="63"/>
        <v>43694</v>
      </c>
      <c r="Q27" s="42">
        <f t="shared" si="64"/>
        <v>43695</v>
      </c>
      <c r="R27" s="15"/>
      <c r="S27" s="39">
        <f t="shared" si="65"/>
        <v>43717</v>
      </c>
      <c r="T27" s="40">
        <f t="shared" si="66"/>
        <v>43718</v>
      </c>
      <c r="U27" s="40">
        <f t="shared" si="67"/>
        <v>43719</v>
      </c>
      <c r="V27" s="40">
        <f t="shared" si="68"/>
        <v>43720</v>
      </c>
      <c r="W27" s="40">
        <f t="shared" si="69"/>
        <v>43721</v>
      </c>
      <c r="X27" s="41">
        <f t="shared" si="70"/>
        <v>43722</v>
      </c>
      <c r="Y27" s="42">
        <f t="shared" si="71"/>
        <v>43723</v>
      </c>
      <c r="Z27" s="14"/>
      <c r="AA27" s="214"/>
    </row>
    <row r="28" spans="1:27" ht="20.6" customHeight="1" x14ac:dyDescent="0.3">
      <c r="A28" s="15">
        <v>4</v>
      </c>
      <c r="B28" s="8"/>
      <c r="C28" s="39">
        <f t="shared" si="51"/>
        <v>43668</v>
      </c>
      <c r="D28" s="40">
        <f t="shared" si="52"/>
        <v>43669</v>
      </c>
      <c r="E28" s="40">
        <f t="shared" si="53"/>
        <v>43670</v>
      </c>
      <c r="F28" s="40">
        <f t="shared" si="54"/>
        <v>43671</v>
      </c>
      <c r="G28" s="40">
        <f t="shared" si="55"/>
        <v>43672</v>
      </c>
      <c r="H28" s="41">
        <f t="shared" si="56"/>
        <v>43673</v>
      </c>
      <c r="I28" s="42">
        <f t="shared" si="57"/>
        <v>43674</v>
      </c>
      <c r="J28" s="15"/>
      <c r="K28" s="39">
        <f t="shared" si="58"/>
        <v>43696</v>
      </c>
      <c r="L28" s="40">
        <f t="shared" si="59"/>
        <v>43697</v>
      </c>
      <c r="M28" s="40">
        <f t="shared" si="60"/>
        <v>43698</v>
      </c>
      <c r="N28" s="40">
        <f t="shared" si="61"/>
        <v>43699</v>
      </c>
      <c r="O28" s="40">
        <f t="shared" si="62"/>
        <v>43700</v>
      </c>
      <c r="P28" s="41">
        <f t="shared" si="63"/>
        <v>43701</v>
      </c>
      <c r="Q28" s="42">
        <f t="shared" si="64"/>
        <v>43702</v>
      </c>
      <c r="R28" s="15"/>
      <c r="S28" s="39">
        <f t="shared" si="65"/>
        <v>43724</v>
      </c>
      <c r="T28" s="40">
        <f t="shared" si="66"/>
        <v>43725</v>
      </c>
      <c r="U28" s="40">
        <f t="shared" si="67"/>
        <v>43726</v>
      </c>
      <c r="V28" s="40">
        <f t="shared" si="68"/>
        <v>43727</v>
      </c>
      <c r="W28" s="40">
        <f t="shared" si="69"/>
        <v>43728</v>
      </c>
      <c r="X28" s="41">
        <f t="shared" si="70"/>
        <v>43729</v>
      </c>
      <c r="Y28" s="42">
        <f t="shared" si="71"/>
        <v>43730</v>
      </c>
      <c r="Z28" s="14"/>
      <c r="AA28" s="214"/>
    </row>
    <row r="29" spans="1:27" ht="20.6" customHeight="1" x14ac:dyDescent="0.3">
      <c r="A29" s="15">
        <v>5</v>
      </c>
      <c r="B29" s="8"/>
      <c r="C29" s="39">
        <f t="shared" si="51"/>
        <v>43675</v>
      </c>
      <c r="D29" s="40">
        <f t="shared" si="52"/>
        <v>43676</v>
      </c>
      <c r="E29" s="40">
        <f t="shared" si="53"/>
        <v>43677</v>
      </c>
      <c r="F29" s="40">
        <f t="shared" si="54"/>
        <v>43678</v>
      </c>
      <c r="G29" s="40">
        <f t="shared" si="55"/>
        <v>43679</v>
      </c>
      <c r="H29" s="41">
        <f t="shared" si="56"/>
        <v>43680</v>
      </c>
      <c r="I29" s="42">
        <f t="shared" si="57"/>
        <v>43681</v>
      </c>
      <c r="J29" s="15"/>
      <c r="K29" s="39">
        <f t="shared" si="58"/>
        <v>43703</v>
      </c>
      <c r="L29" s="40">
        <f t="shared" si="59"/>
        <v>43704</v>
      </c>
      <c r="M29" s="40">
        <f t="shared" si="60"/>
        <v>43705</v>
      </c>
      <c r="N29" s="40">
        <f t="shared" si="61"/>
        <v>43706</v>
      </c>
      <c r="O29" s="40">
        <f t="shared" si="62"/>
        <v>43707</v>
      </c>
      <c r="P29" s="41">
        <f t="shared" si="63"/>
        <v>43708</v>
      </c>
      <c r="Q29" s="42">
        <f t="shared" si="64"/>
        <v>43709</v>
      </c>
      <c r="R29" s="15"/>
      <c r="S29" s="39">
        <f t="shared" si="65"/>
        <v>43731</v>
      </c>
      <c r="T29" s="40">
        <f t="shared" si="66"/>
        <v>43732</v>
      </c>
      <c r="U29" s="40">
        <f t="shared" si="67"/>
        <v>43733</v>
      </c>
      <c r="V29" s="40">
        <f t="shared" si="68"/>
        <v>43734</v>
      </c>
      <c r="W29" s="40">
        <f t="shared" si="69"/>
        <v>43735</v>
      </c>
      <c r="X29" s="41">
        <f t="shared" si="70"/>
        <v>43736</v>
      </c>
      <c r="Y29" s="42">
        <f t="shared" si="71"/>
        <v>43737</v>
      </c>
      <c r="Z29" s="14"/>
      <c r="AA29" s="214"/>
    </row>
    <row r="30" spans="1:27" ht="20.6" customHeight="1" thickBot="1" x14ac:dyDescent="0.35">
      <c r="A30" s="15">
        <v>6</v>
      </c>
      <c r="B30" s="8"/>
      <c r="C30" s="45">
        <f t="shared" si="51"/>
        <v>43682</v>
      </c>
      <c r="D30" s="46">
        <f t="shared" si="52"/>
        <v>43683</v>
      </c>
      <c r="E30" s="46">
        <f t="shared" si="53"/>
        <v>43684</v>
      </c>
      <c r="F30" s="46">
        <f t="shared" si="54"/>
        <v>43685</v>
      </c>
      <c r="G30" s="46">
        <f t="shared" si="55"/>
        <v>43686</v>
      </c>
      <c r="H30" s="47">
        <f t="shared" si="56"/>
        <v>43687</v>
      </c>
      <c r="I30" s="48">
        <f t="shared" si="57"/>
        <v>43688</v>
      </c>
      <c r="J30" s="15"/>
      <c r="K30" s="45">
        <f t="shared" si="58"/>
        <v>43710</v>
      </c>
      <c r="L30" s="46">
        <f t="shared" si="59"/>
        <v>43711</v>
      </c>
      <c r="M30" s="46">
        <f t="shared" si="60"/>
        <v>43712</v>
      </c>
      <c r="N30" s="46">
        <f t="shared" si="61"/>
        <v>43713</v>
      </c>
      <c r="O30" s="46">
        <f t="shared" si="62"/>
        <v>43714</v>
      </c>
      <c r="P30" s="47">
        <f t="shared" si="63"/>
        <v>43715</v>
      </c>
      <c r="Q30" s="48">
        <f t="shared" si="64"/>
        <v>43716</v>
      </c>
      <c r="R30" s="15"/>
      <c r="S30" s="45">
        <f t="shared" si="65"/>
        <v>43738</v>
      </c>
      <c r="T30" s="46">
        <f t="shared" si="66"/>
        <v>43739</v>
      </c>
      <c r="U30" s="46">
        <f t="shared" si="67"/>
        <v>43740</v>
      </c>
      <c r="V30" s="46">
        <f t="shared" si="68"/>
        <v>43741</v>
      </c>
      <c r="W30" s="46">
        <f t="shared" si="69"/>
        <v>43742</v>
      </c>
      <c r="X30" s="47">
        <f t="shared" si="70"/>
        <v>43743</v>
      </c>
      <c r="Y30" s="48">
        <f t="shared" si="71"/>
        <v>43744</v>
      </c>
      <c r="Z30" s="14"/>
      <c r="AA30" s="214"/>
    </row>
    <row r="31" spans="1:27" ht="13.35" customHeight="1" thickBot="1" x14ac:dyDescent="0.35">
      <c r="A31" s="15"/>
      <c r="B31" s="8"/>
      <c r="C31" s="215">
        <f>DATE(Anoall,10,1)</f>
        <v>43739</v>
      </c>
      <c r="D31" s="215"/>
      <c r="E31" s="215"/>
      <c r="F31" s="215"/>
      <c r="G31" s="215"/>
      <c r="H31" s="215"/>
      <c r="I31" s="215"/>
      <c r="J31" s="15"/>
      <c r="K31" s="215">
        <f>DATE(Anoall,11,1)</f>
        <v>43770</v>
      </c>
      <c r="L31" s="215"/>
      <c r="M31" s="215"/>
      <c r="N31" s="215"/>
      <c r="O31" s="215"/>
      <c r="P31" s="215"/>
      <c r="Q31" s="215"/>
      <c r="R31" s="15"/>
      <c r="S31" s="215">
        <f>DATE(Anoall,12,1)</f>
        <v>43800</v>
      </c>
      <c r="T31" s="215"/>
      <c r="U31" s="215"/>
      <c r="V31" s="215"/>
      <c r="W31" s="215"/>
      <c r="X31" s="215"/>
      <c r="Y31" s="215"/>
      <c r="Z31" s="7"/>
      <c r="AA31" s="214"/>
    </row>
    <row r="32" spans="1:27" s="20" customFormat="1" ht="20.6" customHeight="1" thickBot="1" x14ac:dyDescent="0.35">
      <c r="A32" s="10"/>
      <c r="B32" s="17"/>
      <c r="C32" s="216" t="str">
        <f>CHOOSE(MONTH(C4),"OCTOBRE")</f>
        <v>OCTOBRE</v>
      </c>
      <c r="D32" s="217"/>
      <c r="E32" s="217"/>
      <c r="F32" s="217"/>
      <c r="G32" s="217"/>
      <c r="H32" s="217"/>
      <c r="I32" s="218"/>
      <c r="J32" s="10"/>
      <c r="K32" s="216" t="str">
        <f>CHOOSE(MONTH(C4),"NOVEMBRE")</f>
        <v>NOVEMBRE</v>
      </c>
      <c r="L32" s="217"/>
      <c r="M32" s="217"/>
      <c r="N32" s="217"/>
      <c r="O32" s="217"/>
      <c r="P32" s="217"/>
      <c r="Q32" s="218"/>
      <c r="R32" s="10"/>
      <c r="S32" s="216" t="str">
        <f>CHOOSE(MONTH(C4),"DÉCEMBRE")</f>
        <v>DÉCEMBRE</v>
      </c>
      <c r="T32" s="217"/>
      <c r="U32" s="217"/>
      <c r="V32" s="217"/>
      <c r="W32" s="217"/>
      <c r="X32" s="217"/>
      <c r="Y32" s="218"/>
      <c r="Z32" s="19"/>
      <c r="AA32" s="214"/>
    </row>
    <row r="33" spans="1:27" s="20" customFormat="1" ht="16.350000000000001" customHeight="1" thickBot="1" x14ac:dyDescent="0.35">
      <c r="A33" s="10"/>
      <c r="B33" s="51"/>
      <c r="C33" s="74" t="str">
        <f t="shared" ref="C33:I33" si="72">CHOOSE(COLUMN(A$1)+(Débutsemall="Lundi"),"Di","Lu","Ma","Me","Je","Ve","Sa","Di")</f>
        <v>Lu</v>
      </c>
      <c r="D33" s="74" t="str">
        <f t="shared" si="72"/>
        <v>Ma</v>
      </c>
      <c r="E33" s="74" t="str">
        <f t="shared" si="72"/>
        <v>Me</v>
      </c>
      <c r="F33" s="74" t="str">
        <f t="shared" si="72"/>
        <v>Je</v>
      </c>
      <c r="G33" s="74" t="str">
        <f t="shared" si="72"/>
        <v>Ve</v>
      </c>
      <c r="H33" s="80" t="str">
        <f t="shared" si="72"/>
        <v>Sa</v>
      </c>
      <c r="I33" s="80" t="str">
        <f t="shared" si="72"/>
        <v>Di</v>
      </c>
      <c r="J33" s="27"/>
      <c r="K33" s="74" t="str">
        <f t="shared" ref="K33:Q33" si="73">CHOOSE(COLUMN(A$1)+(Débutsemall="Lundi"),"Di","Lu","Ma","Me","Je","Ve","Sa","Di")</f>
        <v>Lu</v>
      </c>
      <c r="L33" s="74" t="str">
        <f t="shared" si="73"/>
        <v>Ma</v>
      </c>
      <c r="M33" s="74" t="str">
        <f t="shared" si="73"/>
        <v>Me</v>
      </c>
      <c r="N33" s="74" t="str">
        <f t="shared" si="73"/>
        <v>Je</v>
      </c>
      <c r="O33" s="74" t="str">
        <f t="shared" si="73"/>
        <v>Ve</v>
      </c>
      <c r="P33" s="80" t="str">
        <f t="shared" si="73"/>
        <v>Sa</v>
      </c>
      <c r="Q33" s="80" t="str">
        <f t="shared" si="73"/>
        <v>Di</v>
      </c>
      <c r="R33" s="27"/>
      <c r="S33" s="74" t="str">
        <f t="shared" ref="S33:Y33" si="74">CHOOSE(COLUMN(A$1)+(Débutsemall="Lundi"),"Di","Lu","Ma","Me","Je","Ve","Sa","Di")</f>
        <v>Lu</v>
      </c>
      <c r="T33" s="74" t="str">
        <f t="shared" si="74"/>
        <v>Ma</v>
      </c>
      <c r="U33" s="74" t="str">
        <f t="shared" si="74"/>
        <v>Me</v>
      </c>
      <c r="V33" s="74" t="str">
        <f t="shared" si="74"/>
        <v>Je</v>
      </c>
      <c r="W33" s="74" t="str">
        <f t="shared" si="74"/>
        <v>Ve</v>
      </c>
      <c r="X33" s="80" t="str">
        <f t="shared" si="74"/>
        <v>Sa</v>
      </c>
      <c r="Y33" s="119" t="str">
        <f t="shared" si="74"/>
        <v>Di</v>
      </c>
      <c r="Z33" s="33"/>
      <c r="AA33" s="214"/>
    </row>
    <row r="34" spans="1:27" ht="20.6" customHeight="1" x14ac:dyDescent="0.3">
      <c r="A34" s="15"/>
      <c r="B34" s="8"/>
      <c r="C34" s="35">
        <f t="shared" ref="C34:C39" si="75">DATE(Anoall,MONTH($C$31),1)-WEEKDAY(DATE(Anoall,MONTH($C$31),1),(Débutsemall="Lundi")+1)+$A7*7-6</f>
        <v>43738</v>
      </c>
      <c r="D34" s="36">
        <f t="shared" ref="D34:D39" si="76">DATE(Anoall,MONTH($C$31),1)-WEEKDAY(DATE(Anoall,MONTH($C$31),1),(Débutsemall="Lundi")+1)+$A7*7-5</f>
        <v>43739</v>
      </c>
      <c r="E34" s="36">
        <f t="shared" ref="E34:E39" si="77">DATE(Anoall,MONTH($C$31),1)-WEEKDAY(DATE(Anoall,MONTH($C$31),1),(Débutsemall="Lundi")+1)+$A7*7-4</f>
        <v>43740</v>
      </c>
      <c r="F34" s="36">
        <f t="shared" ref="F34:F39" si="78">DATE(Anoall,MONTH($C$31),1)-WEEKDAY(DATE(Anoall,MONTH($C$31),1),(Débutsemall="Lundi")+1)+$A7*7-3</f>
        <v>43741</v>
      </c>
      <c r="G34" s="36">
        <f t="shared" ref="G34:G39" si="79">DATE(Anoall,MONTH($C$31),1)-WEEKDAY(DATE(Anoall,MONTH($C$31),1),(Débutsemall="Lundi")+1)+$A7*7-2</f>
        <v>43742</v>
      </c>
      <c r="H34" s="37">
        <f t="shared" ref="H34:H39" si="80">DATE(Anoall,MONTH($C$31),1)-WEEKDAY(DATE(Anoall,MONTH($C$31),1),(Débutsemall="Lundi")+1)+$A7*7-1</f>
        <v>43743</v>
      </c>
      <c r="I34" s="38">
        <f t="shared" ref="I34:I39" si="81">DATE(Anoall,MONTH($C$31),1)-WEEKDAY(DATE(Anoall,MONTH($C$31),1),(Débutsemall="Lundi")+1)+$A7*7</f>
        <v>43744</v>
      </c>
      <c r="J34" s="15"/>
      <c r="K34" s="35">
        <f t="shared" ref="K34:K39" si="82">DATE(Anoall,MONTH($K$31),1)-WEEKDAY(DATE(Anoall,MONTH($K$31),1),(Débutsemall="Lundi")+1)+$A7*7-6</f>
        <v>43766</v>
      </c>
      <c r="L34" s="36">
        <f t="shared" ref="L34:L39" si="83">DATE(Anoall,MONTH($K$31),1)-WEEKDAY(DATE(Anoall,MONTH($K$31),1),(Débutsemall="Lundi")+1)+$A7*7-5</f>
        <v>43767</v>
      </c>
      <c r="M34" s="36">
        <f t="shared" ref="M34:M39" si="84">DATE(Anoall,MONTH($K$31),1)-WEEKDAY(DATE(Anoall,MONTH($K$31),1),(Débutsemall="Lundi")+1)+$A7*7-4</f>
        <v>43768</v>
      </c>
      <c r="N34" s="36">
        <f t="shared" ref="N34:N39" si="85">DATE(Anoall,MONTH($K$31),1)-WEEKDAY(DATE(Anoall,MONTH($K$31),1),(Débutsemall="Lundi")+1)+$A7*7-3</f>
        <v>43769</v>
      </c>
      <c r="O34" s="36">
        <f t="shared" ref="O34:O39" si="86">DATE(Anoall,MONTH($K$31),1)-WEEKDAY(DATE(Anoall,MONTH($K$31),1),(Débutsemall="Lundi")+1)+$A7*7-2</f>
        <v>43770</v>
      </c>
      <c r="P34" s="37">
        <f t="shared" ref="P34:P39" si="87">DATE(Anoall,MONTH($K$31),1)-WEEKDAY(DATE(Anoall,MONTH($K$31),1),(Débutsemall="Lundi")+1)+$A7*7-1</f>
        <v>43771</v>
      </c>
      <c r="Q34" s="38">
        <f t="shared" ref="Q34:Q39" si="88">DATE(Anoall,MONTH($K$31),1)-WEEKDAY(DATE(Anoall,MONTH($K$31),1),(Débutsemall="Lundi")+1)+$A7*7</f>
        <v>43772</v>
      </c>
      <c r="R34" s="15"/>
      <c r="S34" s="35">
        <f t="shared" ref="S34:S39" si="89">DATE(Anoall,MONTH($S$31),1)-WEEKDAY(DATE(Anoall,MONTH($S$31),1),(Débutsemall="Lundi")+1)+$A7*7-6</f>
        <v>43794</v>
      </c>
      <c r="T34" s="36">
        <f t="shared" ref="T34:T39" si="90">DATE(Anoall,MONTH($S$31),1)-WEEKDAY(DATE(Anoall,MONTH($S$31),1),(Débutsemall="Lundi")+1)+$A7*7-5</f>
        <v>43795</v>
      </c>
      <c r="U34" s="36">
        <f t="shared" ref="U34:U39" si="91">DATE(Anoall,MONTH($S$31),1)-WEEKDAY(DATE(Anoall,MONTH($S$31),1),(Débutsemall="Lundi")+1)+$A7*7-4</f>
        <v>43796</v>
      </c>
      <c r="V34" s="36">
        <f t="shared" ref="V34:V39" si="92">DATE(Anoall,MONTH($S$31),1)-WEEKDAY(DATE(Anoall,MONTH($S$31),1),(Débutsemall="Lundi")+1)+$A7*7-3</f>
        <v>43797</v>
      </c>
      <c r="W34" s="36">
        <f t="shared" ref="W34:W39" si="93">DATE(Anoall,MONTH($S$31),1)-WEEKDAY(DATE(Anoall,MONTH($S$31),1),(Débutsemall="Lundi")+1)+$A7*7-2</f>
        <v>43798</v>
      </c>
      <c r="X34" s="37">
        <f t="shared" ref="X34:X39" si="94">DATE(Anoall,MONTH($S$31),1)-WEEKDAY(DATE(Anoall,MONTH($S$31),1),(Débutsemall="Lundi")+1)+$A7*7-1</f>
        <v>43799</v>
      </c>
      <c r="Y34" s="38">
        <f t="shared" ref="Y34:Y39" si="95">DATE(Anoall,MONTH($S$31),1)-WEEKDAY(DATE(Anoall,MONTH($S$31),1),(Débutsemall="Lundi")+1)+$A7*7</f>
        <v>43800</v>
      </c>
      <c r="Z34" s="14"/>
      <c r="AA34" s="214"/>
    </row>
    <row r="35" spans="1:27" ht="20.6" customHeight="1" x14ac:dyDescent="0.3">
      <c r="A35" s="15"/>
      <c r="B35" s="8"/>
      <c r="C35" s="39">
        <f t="shared" si="75"/>
        <v>43745</v>
      </c>
      <c r="D35" s="40">
        <f t="shared" si="76"/>
        <v>43746</v>
      </c>
      <c r="E35" s="40">
        <f t="shared" si="77"/>
        <v>43747</v>
      </c>
      <c r="F35" s="40">
        <f t="shared" si="78"/>
        <v>43748</v>
      </c>
      <c r="G35" s="40">
        <f t="shared" si="79"/>
        <v>43749</v>
      </c>
      <c r="H35" s="41">
        <f t="shared" si="80"/>
        <v>43750</v>
      </c>
      <c r="I35" s="42">
        <f t="shared" si="81"/>
        <v>43751</v>
      </c>
      <c r="J35" s="15"/>
      <c r="K35" s="39">
        <f t="shared" si="82"/>
        <v>43773</v>
      </c>
      <c r="L35" s="40">
        <f t="shared" si="83"/>
        <v>43774</v>
      </c>
      <c r="M35" s="40">
        <f t="shared" si="84"/>
        <v>43775</v>
      </c>
      <c r="N35" s="40">
        <f t="shared" si="85"/>
        <v>43776</v>
      </c>
      <c r="O35" s="40">
        <f t="shared" si="86"/>
        <v>43777</v>
      </c>
      <c r="P35" s="41">
        <f t="shared" si="87"/>
        <v>43778</v>
      </c>
      <c r="Q35" s="42">
        <f t="shared" si="88"/>
        <v>43779</v>
      </c>
      <c r="R35" s="15"/>
      <c r="S35" s="39">
        <f t="shared" si="89"/>
        <v>43801</v>
      </c>
      <c r="T35" s="40">
        <f t="shared" si="90"/>
        <v>43802</v>
      </c>
      <c r="U35" s="40">
        <f t="shared" si="91"/>
        <v>43803</v>
      </c>
      <c r="V35" s="40">
        <f t="shared" si="92"/>
        <v>43804</v>
      </c>
      <c r="W35" s="40">
        <f t="shared" si="93"/>
        <v>43805</v>
      </c>
      <c r="X35" s="41">
        <f t="shared" si="94"/>
        <v>43806</v>
      </c>
      <c r="Y35" s="42">
        <f t="shared" si="95"/>
        <v>43807</v>
      </c>
      <c r="Z35" s="14"/>
      <c r="AA35" s="214"/>
    </row>
    <row r="36" spans="1:27" ht="20.6" customHeight="1" x14ac:dyDescent="0.3">
      <c r="A36" s="15"/>
      <c r="B36" s="8"/>
      <c r="C36" s="39">
        <f t="shared" si="75"/>
        <v>43752</v>
      </c>
      <c r="D36" s="40">
        <f t="shared" si="76"/>
        <v>43753</v>
      </c>
      <c r="E36" s="40">
        <f t="shared" si="77"/>
        <v>43754</v>
      </c>
      <c r="F36" s="40">
        <f t="shared" si="78"/>
        <v>43755</v>
      </c>
      <c r="G36" s="40">
        <f t="shared" si="79"/>
        <v>43756</v>
      </c>
      <c r="H36" s="41">
        <f t="shared" si="80"/>
        <v>43757</v>
      </c>
      <c r="I36" s="42">
        <f t="shared" si="81"/>
        <v>43758</v>
      </c>
      <c r="J36" s="15"/>
      <c r="K36" s="39">
        <f t="shared" si="82"/>
        <v>43780</v>
      </c>
      <c r="L36" s="40">
        <f t="shared" si="83"/>
        <v>43781</v>
      </c>
      <c r="M36" s="40">
        <f t="shared" si="84"/>
        <v>43782</v>
      </c>
      <c r="N36" s="40">
        <f t="shared" si="85"/>
        <v>43783</v>
      </c>
      <c r="O36" s="40">
        <f t="shared" si="86"/>
        <v>43784</v>
      </c>
      <c r="P36" s="41">
        <f t="shared" si="87"/>
        <v>43785</v>
      </c>
      <c r="Q36" s="42">
        <f t="shared" si="88"/>
        <v>43786</v>
      </c>
      <c r="R36" s="15"/>
      <c r="S36" s="39">
        <f t="shared" si="89"/>
        <v>43808</v>
      </c>
      <c r="T36" s="40">
        <f t="shared" si="90"/>
        <v>43809</v>
      </c>
      <c r="U36" s="40">
        <f t="shared" si="91"/>
        <v>43810</v>
      </c>
      <c r="V36" s="40">
        <f t="shared" si="92"/>
        <v>43811</v>
      </c>
      <c r="W36" s="40">
        <f t="shared" si="93"/>
        <v>43812</v>
      </c>
      <c r="X36" s="41">
        <f t="shared" si="94"/>
        <v>43813</v>
      </c>
      <c r="Y36" s="42">
        <f t="shared" si="95"/>
        <v>43814</v>
      </c>
      <c r="Z36" s="14"/>
      <c r="AA36" s="214"/>
    </row>
    <row r="37" spans="1:27" ht="20.6" customHeight="1" x14ac:dyDescent="0.3">
      <c r="A37" s="15"/>
      <c r="B37" s="8"/>
      <c r="C37" s="39">
        <f t="shared" si="75"/>
        <v>43759</v>
      </c>
      <c r="D37" s="40">
        <f t="shared" si="76"/>
        <v>43760</v>
      </c>
      <c r="E37" s="40">
        <f t="shared" si="77"/>
        <v>43761</v>
      </c>
      <c r="F37" s="40">
        <f t="shared" si="78"/>
        <v>43762</v>
      </c>
      <c r="G37" s="40">
        <f t="shared" si="79"/>
        <v>43763</v>
      </c>
      <c r="H37" s="41">
        <f t="shared" si="80"/>
        <v>43764</v>
      </c>
      <c r="I37" s="42">
        <f t="shared" si="81"/>
        <v>43765</v>
      </c>
      <c r="J37" s="15"/>
      <c r="K37" s="39">
        <f t="shared" si="82"/>
        <v>43787</v>
      </c>
      <c r="L37" s="40">
        <f t="shared" si="83"/>
        <v>43788</v>
      </c>
      <c r="M37" s="40">
        <f t="shared" si="84"/>
        <v>43789</v>
      </c>
      <c r="N37" s="40">
        <f t="shared" si="85"/>
        <v>43790</v>
      </c>
      <c r="O37" s="40">
        <f t="shared" si="86"/>
        <v>43791</v>
      </c>
      <c r="P37" s="41">
        <f t="shared" si="87"/>
        <v>43792</v>
      </c>
      <c r="Q37" s="42">
        <f t="shared" si="88"/>
        <v>43793</v>
      </c>
      <c r="R37" s="15"/>
      <c r="S37" s="39">
        <f t="shared" si="89"/>
        <v>43815</v>
      </c>
      <c r="T37" s="40">
        <f t="shared" si="90"/>
        <v>43816</v>
      </c>
      <c r="U37" s="40">
        <f t="shared" si="91"/>
        <v>43817</v>
      </c>
      <c r="V37" s="40">
        <f t="shared" si="92"/>
        <v>43818</v>
      </c>
      <c r="W37" s="40">
        <f t="shared" si="93"/>
        <v>43819</v>
      </c>
      <c r="X37" s="41">
        <f t="shared" si="94"/>
        <v>43820</v>
      </c>
      <c r="Y37" s="42">
        <f t="shared" si="95"/>
        <v>43821</v>
      </c>
      <c r="Z37" s="14"/>
      <c r="AA37" s="214"/>
    </row>
    <row r="38" spans="1:27" ht="20.6" customHeight="1" x14ac:dyDescent="0.3">
      <c r="A38" s="15"/>
      <c r="B38" s="8"/>
      <c r="C38" s="39">
        <f t="shared" si="75"/>
        <v>43766</v>
      </c>
      <c r="D38" s="40">
        <f t="shared" si="76"/>
        <v>43767</v>
      </c>
      <c r="E38" s="40">
        <f t="shared" si="77"/>
        <v>43768</v>
      </c>
      <c r="F38" s="40">
        <f t="shared" si="78"/>
        <v>43769</v>
      </c>
      <c r="G38" s="40">
        <f t="shared" si="79"/>
        <v>43770</v>
      </c>
      <c r="H38" s="41">
        <f t="shared" si="80"/>
        <v>43771</v>
      </c>
      <c r="I38" s="42">
        <f t="shared" si="81"/>
        <v>43772</v>
      </c>
      <c r="J38" s="15"/>
      <c r="K38" s="39">
        <f t="shared" si="82"/>
        <v>43794</v>
      </c>
      <c r="L38" s="40">
        <f t="shared" si="83"/>
        <v>43795</v>
      </c>
      <c r="M38" s="40">
        <f t="shared" si="84"/>
        <v>43796</v>
      </c>
      <c r="N38" s="40">
        <f t="shared" si="85"/>
        <v>43797</v>
      </c>
      <c r="O38" s="40">
        <f t="shared" si="86"/>
        <v>43798</v>
      </c>
      <c r="P38" s="41">
        <f t="shared" si="87"/>
        <v>43799</v>
      </c>
      <c r="Q38" s="42">
        <f t="shared" si="88"/>
        <v>43800</v>
      </c>
      <c r="R38" s="15"/>
      <c r="S38" s="39">
        <f t="shared" si="89"/>
        <v>43822</v>
      </c>
      <c r="T38" s="40">
        <f t="shared" si="90"/>
        <v>43823</v>
      </c>
      <c r="U38" s="40">
        <f t="shared" si="91"/>
        <v>43824</v>
      </c>
      <c r="V38" s="40">
        <f t="shared" si="92"/>
        <v>43825</v>
      </c>
      <c r="W38" s="40">
        <f t="shared" si="93"/>
        <v>43826</v>
      </c>
      <c r="X38" s="41">
        <f t="shared" si="94"/>
        <v>43827</v>
      </c>
      <c r="Y38" s="42">
        <f t="shared" si="95"/>
        <v>43828</v>
      </c>
      <c r="Z38" s="14"/>
      <c r="AA38" s="214"/>
    </row>
    <row r="39" spans="1:27" ht="20.6" customHeight="1" thickBot="1" x14ac:dyDescent="0.35">
      <c r="A39" s="15"/>
      <c r="B39" s="8"/>
      <c r="C39" s="45">
        <f t="shared" si="75"/>
        <v>43773</v>
      </c>
      <c r="D39" s="46">
        <f t="shared" si="76"/>
        <v>43774</v>
      </c>
      <c r="E39" s="46">
        <f t="shared" si="77"/>
        <v>43775</v>
      </c>
      <c r="F39" s="46">
        <f t="shared" si="78"/>
        <v>43776</v>
      </c>
      <c r="G39" s="46">
        <f t="shared" si="79"/>
        <v>43777</v>
      </c>
      <c r="H39" s="47">
        <f t="shared" si="80"/>
        <v>43778</v>
      </c>
      <c r="I39" s="48">
        <f t="shared" si="81"/>
        <v>43779</v>
      </c>
      <c r="J39" s="15"/>
      <c r="K39" s="45">
        <f t="shared" si="82"/>
        <v>43801</v>
      </c>
      <c r="L39" s="46">
        <f t="shared" si="83"/>
        <v>43802</v>
      </c>
      <c r="M39" s="46">
        <f t="shared" si="84"/>
        <v>43803</v>
      </c>
      <c r="N39" s="46">
        <f t="shared" si="85"/>
        <v>43804</v>
      </c>
      <c r="O39" s="46">
        <f t="shared" si="86"/>
        <v>43805</v>
      </c>
      <c r="P39" s="47">
        <f t="shared" si="87"/>
        <v>43806</v>
      </c>
      <c r="Q39" s="48">
        <f t="shared" si="88"/>
        <v>43807</v>
      </c>
      <c r="R39" s="15"/>
      <c r="S39" s="45">
        <f t="shared" si="89"/>
        <v>43829</v>
      </c>
      <c r="T39" s="46">
        <f t="shared" si="90"/>
        <v>43830</v>
      </c>
      <c r="U39" s="46">
        <f t="shared" si="91"/>
        <v>43831</v>
      </c>
      <c r="V39" s="46">
        <f t="shared" si="92"/>
        <v>43832</v>
      </c>
      <c r="W39" s="46">
        <f t="shared" si="93"/>
        <v>43833</v>
      </c>
      <c r="X39" s="47">
        <f t="shared" si="94"/>
        <v>43834</v>
      </c>
      <c r="Y39" s="48">
        <f t="shared" si="95"/>
        <v>43835</v>
      </c>
      <c r="Z39" s="14"/>
      <c r="AA39" s="214"/>
    </row>
    <row r="40" spans="1:27" ht="8.5" customHeight="1" thickBot="1" x14ac:dyDescent="0.35">
      <c r="A40" s="15"/>
      <c r="B40" s="58"/>
      <c r="C40" s="59"/>
      <c r="D40" s="59"/>
      <c r="E40" s="59"/>
      <c r="F40" s="59"/>
      <c r="G40" s="59"/>
      <c r="H40" s="59"/>
      <c r="I40" s="59"/>
      <c r="J40" s="60"/>
      <c r="K40" s="59"/>
      <c r="L40" s="59"/>
      <c r="M40" s="59"/>
      <c r="N40" s="59"/>
      <c r="O40" s="59"/>
      <c r="P40" s="59"/>
      <c r="Q40" s="59"/>
      <c r="R40" s="60"/>
      <c r="S40" s="59"/>
      <c r="T40" s="59"/>
      <c r="U40" s="59"/>
      <c r="V40" s="59"/>
      <c r="W40" s="59"/>
      <c r="X40" s="59"/>
      <c r="Y40" s="59"/>
      <c r="Z40" s="61"/>
      <c r="AA40" s="214"/>
    </row>
    <row r="41" spans="1:27" ht="7.3" customHeight="1" x14ac:dyDescent="0.3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</row>
  </sheetData>
  <sheetProtection algorithmName="SHA-512" hashValue="uMR2aoilFYn2B2Urc7hXd5Rtt7V1g2WxFuTA4cyi0UFbhOkNxtoqHEVAa3J3pa09PNRtSRoAbFMhU1qAQcj4wQ==" saltValue="80NEfpXHw7L3jas3zb7cOA==" spinCount="100000" sheet="1" objects="1" scenarios="1"/>
  <mergeCells count="29">
    <mergeCell ref="A1:AA1"/>
    <mergeCell ref="AA2:AA40"/>
    <mergeCell ref="K3:Q3"/>
    <mergeCell ref="T3:X3"/>
    <mergeCell ref="C4:I4"/>
    <mergeCell ref="K4:Q4"/>
    <mergeCell ref="S4:Y4"/>
    <mergeCell ref="C5:I5"/>
    <mergeCell ref="K5:Q5"/>
    <mergeCell ref="S5:Y5"/>
    <mergeCell ref="C13:I13"/>
    <mergeCell ref="K13:Q13"/>
    <mergeCell ref="S13:Y13"/>
    <mergeCell ref="C14:I14"/>
    <mergeCell ref="K14:Q14"/>
    <mergeCell ref="S14:Y14"/>
    <mergeCell ref="C22:I22"/>
    <mergeCell ref="K22:Q22"/>
    <mergeCell ref="S22:Y22"/>
    <mergeCell ref="C23:I23"/>
    <mergeCell ref="K23:Q23"/>
    <mergeCell ref="S23:Y23"/>
    <mergeCell ref="A41:AA41"/>
    <mergeCell ref="C31:I31"/>
    <mergeCell ref="K31:Q31"/>
    <mergeCell ref="S31:Y31"/>
    <mergeCell ref="C32:I32"/>
    <mergeCell ref="K32:Q32"/>
    <mergeCell ref="S32:Y32"/>
  </mergeCells>
  <conditionalFormatting sqref="C7:I7">
    <cfRule type="expression" dxfId="138" priority="24">
      <formula>DAY(C7)&gt;7</formula>
    </cfRule>
  </conditionalFormatting>
  <conditionalFormatting sqref="K7:Q7">
    <cfRule type="expression" dxfId="137" priority="23">
      <formula>DAY(K7)&gt;7</formula>
    </cfRule>
  </conditionalFormatting>
  <conditionalFormatting sqref="S7:Y7">
    <cfRule type="expression" dxfId="136" priority="22">
      <formula>DAY(S7)&gt;7</formula>
    </cfRule>
  </conditionalFormatting>
  <conditionalFormatting sqref="C11:I12">
    <cfRule type="expression" dxfId="135" priority="12">
      <formula>DAY(C11)&lt;15</formula>
    </cfRule>
  </conditionalFormatting>
  <conditionalFormatting sqref="K11:Q12">
    <cfRule type="expression" dxfId="134" priority="11">
      <formula>DAY(K11)&lt;15</formula>
    </cfRule>
  </conditionalFormatting>
  <conditionalFormatting sqref="S11:Y12">
    <cfRule type="expression" dxfId="133" priority="10">
      <formula>DAY(S11)&lt;15</formula>
    </cfRule>
  </conditionalFormatting>
  <conditionalFormatting sqref="C20:I21">
    <cfRule type="expression" dxfId="132" priority="9">
      <formula>DAY(C20)&lt;15</formula>
    </cfRule>
  </conditionalFormatting>
  <conditionalFormatting sqref="K20:Q21">
    <cfRule type="expression" dxfId="131" priority="8">
      <formula>DAY(K20)&lt;15</formula>
    </cfRule>
  </conditionalFormatting>
  <conditionalFormatting sqref="S20:Y21">
    <cfRule type="expression" dxfId="130" priority="7">
      <formula>DAY(S20)&lt;15</formula>
    </cfRule>
  </conditionalFormatting>
  <conditionalFormatting sqref="C29:I30">
    <cfRule type="expression" dxfId="129" priority="6">
      <formula>DAY(C29)&lt;15</formula>
    </cfRule>
  </conditionalFormatting>
  <conditionalFormatting sqref="K29:Q30">
    <cfRule type="expression" dxfId="128" priority="5">
      <formula>DAY(K29)&lt;15</formula>
    </cfRule>
  </conditionalFormatting>
  <conditionalFormatting sqref="S29:Y30">
    <cfRule type="expression" dxfId="127" priority="4">
      <formula>DAY(S29)&lt;15</formula>
    </cfRule>
  </conditionalFormatting>
  <conditionalFormatting sqref="C38:I39">
    <cfRule type="expression" dxfId="126" priority="3">
      <formula>DAY(C38)&lt;15</formula>
    </cfRule>
  </conditionalFormatting>
  <conditionalFormatting sqref="K38:Q39">
    <cfRule type="expression" dxfId="125" priority="2">
      <formula>DAY(K38)&lt;15</formula>
    </cfRule>
  </conditionalFormatting>
  <conditionalFormatting sqref="S38:Y39">
    <cfRule type="expression" dxfId="124" priority="1">
      <formula>DAY(S38)&lt;15</formula>
    </cfRule>
  </conditionalFormatting>
  <conditionalFormatting sqref="C16:I16">
    <cfRule type="expression" dxfId="123" priority="21">
      <formula>DAY(C16)&gt;7</formula>
    </cfRule>
  </conditionalFormatting>
  <conditionalFormatting sqref="K16:Q16">
    <cfRule type="expression" dxfId="122" priority="20">
      <formula>DAY(K16)&gt;7</formula>
    </cfRule>
  </conditionalFormatting>
  <conditionalFormatting sqref="S16:Y16">
    <cfRule type="expression" dxfId="121" priority="19">
      <formula>DAY(S16)&gt;7</formula>
    </cfRule>
  </conditionalFormatting>
  <conditionalFormatting sqref="C25:I25">
    <cfRule type="expression" dxfId="120" priority="18">
      <formula>DAY(C25)&gt;7</formula>
    </cfRule>
  </conditionalFormatting>
  <conditionalFormatting sqref="K25:Q25">
    <cfRule type="expression" dxfId="119" priority="17">
      <formula>DAY(K25)&gt;7</formula>
    </cfRule>
  </conditionalFormatting>
  <conditionalFormatting sqref="S25:Y25">
    <cfRule type="expression" dxfId="118" priority="16">
      <formula>DAY(S25)&gt;7</formula>
    </cfRule>
  </conditionalFormatting>
  <conditionalFormatting sqref="C34:I34">
    <cfRule type="expression" dxfId="117" priority="15">
      <formula>DAY(C34)&gt;7</formula>
    </cfRule>
  </conditionalFormatting>
  <conditionalFormatting sqref="K34:Q34">
    <cfRule type="expression" dxfId="116" priority="14">
      <formula>DAY(K34)&gt;7</formula>
    </cfRule>
  </conditionalFormatting>
  <conditionalFormatting sqref="S34:Y34">
    <cfRule type="expression" dxfId="115" priority="13">
      <formula>DAY(S34)&gt;7</formula>
    </cfRule>
  </conditionalFormatting>
  <conditionalFormatting sqref="C7:I12 K7:Q12 S7:Y12 C16:I21 K16:Q21 S16:Y21 C25:I30 K25:Q30 S25:Y30 C34:I39 K34:Q39 S34:Y39">
    <cfRule type="expression" dxfId="114" priority="28">
      <formula>C7=TODAY()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2" id="{E6F629AA-1969-420C-91A2-F9E791D14232}">
            <xm:f>VLOOKUP(C7,'Jours fériés'!$Z$7:$Z$17,1,FALSE)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D675C-2CBF-4BA4-9BF6-AB6840AADD99}">
  <dimension ref="A1:AC41"/>
  <sheetViews>
    <sheetView workbookViewId="0">
      <selection activeCell="C3" sqref="C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9" ht="7.3" customHeight="1" thickBot="1" x14ac:dyDescent="0.35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29" ht="8.5" customHeight="1" thickBot="1" x14ac:dyDescent="0.35">
      <c r="A2" s="2"/>
      <c r="B2" s="3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6"/>
      <c r="AA2" s="214"/>
    </row>
    <row r="3" spans="1:29" ht="21.8" customHeight="1" thickTop="1" thickBot="1" x14ac:dyDescent="0.35">
      <c r="A3" s="7"/>
      <c r="B3" s="8"/>
      <c r="C3" s="9"/>
      <c r="D3" s="213" t="str">
        <f>IF($I$3,"Année bissextile","")</f>
        <v/>
      </c>
      <c r="E3" s="213"/>
      <c r="F3" s="213"/>
      <c r="G3" s="213"/>
      <c r="H3" s="213"/>
      <c r="I3" s="149" t="b">
        <f>DAY(DATE(YEAR(K7),3,0))=29</f>
        <v>0</v>
      </c>
      <c r="J3" s="11"/>
      <c r="K3" s="222">
        <v>2019</v>
      </c>
      <c r="L3" s="223"/>
      <c r="M3" s="223"/>
      <c r="N3" s="223"/>
      <c r="O3" s="223"/>
      <c r="P3" s="223"/>
      <c r="Q3" s="223"/>
      <c r="R3" s="12"/>
      <c r="S3" s="13"/>
      <c r="T3" s="224"/>
      <c r="U3" s="224"/>
      <c r="V3" s="224"/>
      <c r="W3" s="224"/>
      <c r="X3" s="224"/>
      <c r="Y3" s="10"/>
      <c r="Z3" s="14"/>
      <c r="AA3" s="214"/>
    </row>
    <row r="4" spans="1:29" ht="12.1" customHeight="1" thickTop="1" thickBot="1" x14ac:dyDescent="0.35">
      <c r="A4" s="15"/>
      <c r="B4" s="8"/>
      <c r="C4" s="215">
        <f>DATE(Anopt,1,1)</f>
        <v>43466</v>
      </c>
      <c r="D4" s="215"/>
      <c r="E4" s="215"/>
      <c r="F4" s="215"/>
      <c r="G4" s="215"/>
      <c r="H4" s="215"/>
      <c r="I4" s="215"/>
      <c r="J4" s="15"/>
      <c r="K4" s="225">
        <f>DATE(Anopt,2,1)</f>
        <v>43497</v>
      </c>
      <c r="L4" s="225"/>
      <c r="M4" s="225"/>
      <c r="N4" s="225"/>
      <c r="O4" s="225"/>
      <c r="P4" s="225"/>
      <c r="Q4" s="225"/>
      <c r="R4" s="16"/>
      <c r="S4" s="215">
        <f>DATE(Anopt,3,1)</f>
        <v>43525</v>
      </c>
      <c r="T4" s="215"/>
      <c r="U4" s="215"/>
      <c r="V4" s="215"/>
      <c r="W4" s="215"/>
      <c r="X4" s="215"/>
      <c r="Y4" s="215"/>
      <c r="Z4" s="7"/>
      <c r="AA4" s="214"/>
    </row>
    <row r="5" spans="1:29" s="20" customFormat="1" ht="20.6" customHeight="1" thickBot="1" x14ac:dyDescent="0.35">
      <c r="A5" s="10"/>
      <c r="B5" s="17"/>
      <c r="C5" s="216" t="str">
        <f>CHOOSE(MONTH(C4),"JANVIER")</f>
        <v>JANVIER</v>
      </c>
      <c r="D5" s="217"/>
      <c r="E5" s="217"/>
      <c r="F5" s="217"/>
      <c r="G5" s="217"/>
      <c r="H5" s="217"/>
      <c r="I5" s="218"/>
      <c r="J5" s="18" t="s">
        <v>0</v>
      </c>
      <c r="K5" s="216" t="str">
        <f>CHOOSE(MONTH(C4),"FÉVRIER")</f>
        <v>FÉVRIER</v>
      </c>
      <c r="L5" s="217"/>
      <c r="M5" s="217"/>
      <c r="N5" s="217"/>
      <c r="O5" s="217"/>
      <c r="P5" s="217"/>
      <c r="Q5" s="218"/>
      <c r="R5" s="10"/>
      <c r="S5" s="216" t="str">
        <f>CHOOSE(MONTH(C4),"MARS")</f>
        <v>MARS</v>
      </c>
      <c r="T5" s="217"/>
      <c r="U5" s="217"/>
      <c r="V5" s="217"/>
      <c r="W5" s="217"/>
      <c r="X5" s="217"/>
      <c r="Y5" s="218"/>
      <c r="Z5" s="19"/>
      <c r="AA5" s="214"/>
    </row>
    <row r="6" spans="1:29" s="20" customFormat="1" ht="16.350000000000001" customHeight="1" thickBot="1" x14ac:dyDescent="0.35">
      <c r="A6" s="10"/>
      <c r="B6" s="17"/>
      <c r="C6" s="74" t="s">
        <v>107</v>
      </c>
      <c r="D6" s="74" t="s">
        <v>108</v>
      </c>
      <c r="E6" s="74" t="s">
        <v>109</v>
      </c>
      <c r="F6" s="74" t="s">
        <v>109</v>
      </c>
      <c r="G6" s="74" t="s">
        <v>107</v>
      </c>
      <c r="H6" s="80" t="s">
        <v>107</v>
      </c>
      <c r="I6" s="80" t="s">
        <v>110</v>
      </c>
      <c r="J6" s="27"/>
      <c r="K6" s="74" t="s">
        <v>107</v>
      </c>
      <c r="L6" s="74" t="s">
        <v>108</v>
      </c>
      <c r="M6" s="74" t="s">
        <v>109</v>
      </c>
      <c r="N6" s="74" t="s">
        <v>109</v>
      </c>
      <c r="O6" s="74" t="s">
        <v>107</v>
      </c>
      <c r="P6" s="80" t="s">
        <v>107</v>
      </c>
      <c r="Q6" s="80" t="s">
        <v>110</v>
      </c>
      <c r="R6" s="79"/>
      <c r="S6" s="74" t="s">
        <v>107</v>
      </c>
      <c r="T6" s="74" t="s">
        <v>108</v>
      </c>
      <c r="U6" s="74" t="s">
        <v>109</v>
      </c>
      <c r="V6" s="74" t="s">
        <v>109</v>
      </c>
      <c r="W6" s="74" t="s">
        <v>107</v>
      </c>
      <c r="X6" s="80" t="s">
        <v>107</v>
      </c>
      <c r="Y6" s="80" t="s">
        <v>110</v>
      </c>
      <c r="Z6" s="78"/>
      <c r="AA6" s="214"/>
    </row>
    <row r="7" spans="1:29" ht="20.6" customHeight="1" x14ac:dyDescent="0.3">
      <c r="A7" s="15">
        <v>1</v>
      </c>
      <c r="B7" s="8"/>
      <c r="C7" s="35">
        <f t="shared" ref="C7:C12" si="0">DATE(Anopt,MONTH($C$4),1)-WEEKDAY(DATE(Anopt,MONTH($C$4),1),(Débutsempt="Lundi")+1)+$A7*7-6</f>
        <v>43465</v>
      </c>
      <c r="D7" s="36">
        <f t="shared" ref="D7:D12" si="1">DATE(Anopt,MONTH($C$4),1)-WEEKDAY(DATE(Anopt,MONTH($C$4),1),(Débutsempt="Lundi")+1)+$A7*7-5</f>
        <v>43466</v>
      </c>
      <c r="E7" s="36">
        <f t="shared" ref="E7:E12" si="2">DATE(Anopt,MONTH($C$4),1)-WEEKDAY(DATE(Anopt,MONTH($C$4),1),(Débutsempt="Lundi")+1)+$A7*7-4</f>
        <v>43467</v>
      </c>
      <c r="F7" s="36">
        <f t="shared" ref="F7:F12" si="3">DATE(Anopt,MONTH($C$4),1)-WEEKDAY(DATE(Anopt,MONTH($C$4),1),(Débutsempt="Lundi")+1)+$A7*7-3</f>
        <v>43468</v>
      </c>
      <c r="G7" s="36">
        <f t="shared" ref="G7:G12" si="4">DATE(Anopt,MONTH($C$4),1)-WEEKDAY(DATE(Anopt,MONTH($C$4),1),(Débutsempt="Lundi")+1)+$A7*7-2</f>
        <v>43469</v>
      </c>
      <c r="H7" s="37">
        <f t="shared" ref="H7:H12" si="5">DATE(Anopt,MONTH($C$4),1)-WEEKDAY(DATE(Anopt,MONTH($C$4),1),(Débutsempt="Lundi")+1)+$A7*7-1</f>
        <v>43470</v>
      </c>
      <c r="I7" s="38">
        <f t="shared" ref="I7:I12" si="6">DATE(Anopt,MONTH($C$4),1)-WEEKDAY(DATE(Anopt,MONTH($C$4),1),(Débutsempt="Lundi")+1)+$A7*7</f>
        <v>43471</v>
      </c>
      <c r="J7" s="15"/>
      <c r="K7" s="35">
        <f t="shared" ref="K7:K12" si="7">DATE(Anopt,MONTH($K$4),1)-WEEKDAY(DATE(Anopt,MONTH($K$4),1),(Débutsempt="Lundi")+1)+$A7*7-6</f>
        <v>43493</v>
      </c>
      <c r="L7" s="36">
        <f t="shared" ref="L7:L12" si="8">DATE(Anopt,MONTH($K$4),1)-WEEKDAY(DATE(Anopt,MONTH($K$4),1),(Débutsempt="Lundi")+1)+$A7*7-5</f>
        <v>43494</v>
      </c>
      <c r="M7" s="36">
        <f t="shared" ref="M7:M12" si="9">DATE(Anopt,MONTH($K$4),1)-WEEKDAY(DATE(Anopt,MONTH($K$4),1),(Débutsempt="Lundi")+1)+$A7*7-4</f>
        <v>43495</v>
      </c>
      <c r="N7" s="36">
        <f t="shared" ref="N7:N12" si="10">DATE(Anopt,MONTH($K$4),1)-WEEKDAY(DATE(Anopt,MONTH($K$4),1),(Débutsempt="Lundi")+1)+$A7*7-3</f>
        <v>43496</v>
      </c>
      <c r="O7" s="36">
        <f t="shared" ref="O7:O12" si="11">DATE(Anopt,MONTH($K$4),1)-WEEKDAY(DATE(Anopt,MONTH($K$4),1),(Débutsempt="Lundi")+1)+$A7*7-2</f>
        <v>43497</v>
      </c>
      <c r="P7" s="37">
        <f t="shared" ref="P7:P12" si="12">DATE(Anopt,MONTH($K$4),1)-WEEKDAY(DATE(Anopt,MONTH($K$4),1),(Débutsempt="Lundi")+1)+$A7*7-1</f>
        <v>43498</v>
      </c>
      <c r="Q7" s="38">
        <f t="shared" ref="Q7:Q12" si="13">DATE(Anopt,MONTH($K$4),1)-WEEKDAY(DATE(Anopt,MONTH($K$4),1),(Débutsempt="Lundi")+1)+$A7*7</f>
        <v>43499</v>
      </c>
      <c r="R7" s="15"/>
      <c r="S7" s="35">
        <f t="shared" ref="S7:S12" si="14">DATE(Anopt,MONTH($S$4),1)-WEEKDAY(DATE(Anopt,MONTH($S$4),1),(Débutsempt="Lundi")+1)+$A7*7-6</f>
        <v>43521</v>
      </c>
      <c r="T7" s="36">
        <f t="shared" ref="T7:T12" si="15">DATE(Anopt,MONTH($S$4),1)-WEEKDAY(DATE(Anopt,MONTH($S$4),1),(Débutsempt="Lundi")+1)+$A7*7-5</f>
        <v>43522</v>
      </c>
      <c r="U7" s="36">
        <f t="shared" ref="U7:U12" si="16">DATE(Anopt,MONTH($S$4),1)-WEEKDAY(DATE(Anopt,MONTH($S$4),1),(Débutsempt="Lundi")+1)+$A7*7-4</f>
        <v>43523</v>
      </c>
      <c r="V7" s="36">
        <f t="shared" ref="V7:V12" si="17">DATE(Anopt,MONTH($S$4),1)-WEEKDAY(DATE(Anopt,MONTH($S$4),1),(Débutsempt="Lundi")+1)+$A7*7-3</f>
        <v>43524</v>
      </c>
      <c r="W7" s="36">
        <f t="shared" ref="W7:W12" si="18">DATE(Anopt,MONTH($S$4),1)-WEEKDAY(DATE(Anopt,MONTH($S$4),1),(Débutsempt="Lundi")+1)+$A7*7-2</f>
        <v>43525</v>
      </c>
      <c r="X7" s="37">
        <f t="shared" ref="X7:X12" si="19">DATE(Anopt,MONTH($S$4),1)-WEEKDAY(DATE(Anopt,MONTH($S$4),1),(Débutsempt="Lundi")+1)+$A7*7-1</f>
        <v>43526</v>
      </c>
      <c r="Y7" s="38">
        <f t="shared" ref="Y7:Y12" si="20">DATE(Anopt,MONTH($S$4),1)-WEEKDAY(DATE(Anopt,MONTH($S$4),1),(Débutsempt="Lundi")+1)+$A7*7</f>
        <v>43527</v>
      </c>
      <c r="Z7" s="14"/>
      <c r="AA7" s="214"/>
    </row>
    <row r="8" spans="1:29" ht="20.6" customHeight="1" x14ac:dyDescent="0.3">
      <c r="A8" s="15">
        <v>2</v>
      </c>
      <c r="B8" s="8"/>
      <c r="C8" s="39">
        <f t="shared" si="0"/>
        <v>43472</v>
      </c>
      <c r="D8" s="40">
        <f t="shared" si="1"/>
        <v>43473</v>
      </c>
      <c r="E8" s="40">
        <f t="shared" si="2"/>
        <v>43474</v>
      </c>
      <c r="F8" s="40">
        <f t="shared" si="3"/>
        <v>43475</v>
      </c>
      <c r="G8" s="40">
        <f t="shared" si="4"/>
        <v>43476</v>
      </c>
      <c r="H8" s="41">
        <f t="shared" si="5"/>
        <v>43477</v>
      </c>
      <c r="I8" s="42">
        <f t="shared" si="6"/>
        <v>43478</v>
      </c>
      <c r="J8" s="15"/>
      <c r="K8" s="39">
        <f t="shared" si="7"/>
        <v>43500</v>
      </c>
      <c r="L8" s="40">
        <f t="shared" si="8"/>
        <v>43501</v>
      </c>
      <c r="M8" s="40">
        <f t="shared" si="9"/>
        <v>43502</v>
      </c>
      <c r="N8" s="40">
        <f t="shared" si="10"/>
        <v>43503</v>
      </c>
      <c r="O8" s="40">
        <f t="shared" si="11"/>
        <v>43504</v>
      </c>
      <c r="P8" s="41">
        <f t="shared" si="12"/>
        <v>43505</v>
      </c>
      <c r="Q8" s="42">
        <f t="shared" si="13"/>
        <v>43506</v>
      </c>
      <c r="R8" s="15"/>
      <c r="S8" s="39">
        <f t="shared" si="14"/>
        <v>43528</v>
      </c>
      <c r="T8" s="40">
        <f t="shared" si="15"/>
        <v>43529</v>
      </c>
      <c r="U8" s="40">
        <f t="shared" si="16"/>
        <v>43530</v>
      </c>
      <c r="V8" s="40">
        <f t="shared" si="17"/>
        <v>43531</v>
      </c>
      <c r="W8" s="40">
        <f t="shared" si="18"/>
        <v>43532</v>
      </c>
      <c r="X8" s="41">
        <f t="shared" si="19"/>
        <v>43533</v>
      </c>
      <c r="Y8" s="42">
        <f t="shared" si="20"/>
        <v>43534</v>
      </c>
      <c r="Z8" s="14"/>
      <c r="AA8" s="214"/>
    </row>
    <row r="9" spans="1:29" ht="20.6" customHeight="1" x14ac:dyDescent="0.3">
      <c r="A9" s="15">
        <v>3</v>
      </c>
      <c r="B9" s="8"/>
      <c r="C9" s="39">
        <f t="shared" si="0"/>
        <v>43479</v>
      </c>
      <c r="D9" s="40">
        <f t="shared" si="1"/>
        <v>43480</v>
      </c>
      <c r="E9" s="40">
        <f t="shared" si="2"/>
        <v>43481</v>
      </c>
      <c r="F9" s="40">
        <f t="shared" si="3"/>
        <v>43482</v>
      </c>
      <c r="G9" s="40">
        <f t="shared" si="4"/>
        <v>43483</v>
      </c>
      <c r="H9" s="41">
        <f t="shared" si="5"/>
        <v>43484</v>
      </c>
      <c r="I9" s="42">
        <f t="shared" si="6"/>
        <v>43485</v>
      </c>
      <c r="J9" s="15"/>
      <c r="K9" s="39">
        <f t="shared" si="7"/>
        <v>43507</v>
      </c>
      <c r="L9" s="40">
        <f t="shared" si="8"/>
        <v>43508</v>
      </c>
      <c r="M9" s="40">
        <f t="shared" si="9"/>
        <v>43509</v>
      </c>
      <c r="N9" s="40">
        <f t="shared" si="10"/>
        <v>43510</v>
      </c>
      <c r="O9" s="40">
        <f t="shared" si="11"/>
        <v>43511</v>
      </c>
      <c r="P9" s="41">
        <f t="shared" si="12"/>
        <v>43512</v>
      </c>
      <c r="Q9" s="42">
        <f t="shared" si="13"/>
        <v>43513</v>
      </c>
      <c r="R9" s="15"/>
      <c r="S9" s="39">
        <f t="shared" si="14"/>
        <v>43535</v>
      </c>
      <c r="T9" s="40">
        <f t="shared" si="15"/>
        <v>43536</v>
      </c>
      <c r="U9" s="40">
        <f t="shared" si="16"/>
        <v>43537</v>
      </c>
      <c r="V9" s="40">
        <f t="shared" si="17"/>
        <v>43538</v>
      </c>
      <c r="W9" s="40">
        <f t="shared" si="18"/>
        <v>43539</v>
      </c>
      <c r="X9" s="41">
        <f t="shared" si="19"/>
        <v>43540</v>
      </c>
      <c r="Y9" s="42">
        <f t="shared" si="20"/>
        <v>43541</v>
      </c>
      <c r="Z9" s="43"/>
      <c r="AA9" s="214"/>
      <c r="AC9" s="73"/>
    </row>
    <row r="10" spans="1:29" ht="20.6" customHeight="1" x14ac:dyDescent="0.3">
      <c r="A10" s="15">
        <v>4</v>
      </c>
      <c r="B10" s="8"/>
      <c r="C10" s="39">
        <f t="shared" si="0"/>
        <v>43486</v>
      </c>
      <c r="D10" s="40">
        <f t="shared" si="1"/>
        <v>43487</v>
      </c>
      <c r="E10" s="40">
        <f t="shared" si="2"/>
        <v>43488</v>
      </c>
      <c r="F10" s="40">
        <f t="shared" si="3"/>
        <v>43489</v>
      </c>
      <c r="G10" s="40">
        <f t="shared" si="4"/>
        <v>43490</v>
      </c>
      <c r="H10" s="41">
        <f t="shared" si="5"/>
        <v>43491</v>
      </c>
      <c r="I10" s="42">
        <f t="shared" si="6"/>
        <v>43492</v>
      </c>
      <c r="J10" s="15"/>
      <c r="K10" s="39">
        <f t="shared" si="7"/>
        <v>43514</v>
      </c>
      <c r="L10" s="40">
        <f t="shared" si="8"/>
        <v>43515</v>
      </c>
      <c r="M10" s="40">
        <f t="shared" si="9"/>
        <v>43516</v>
      </c>
      <c r="N10" s="40">
        <f t="shared" si="10"/>
        <v>43517</v>
      </c>
      <c r="O10" s="40">
        <f t="shared" si="11"/>
        <v>43518</v>
      </c>
      <c r="P10" s="41">
        <f t="shared" si="12"/>
        <v>43519</v>
      </c>
      <c r="Q10" s="42">
        <f t="shared" si="13"/>
        <v>43520</v>
      </c>
      <c r="R10" s="15"/>
      <c r="S10" s="39">
        <f t="shared" si="14"/>
        <v>43542</v>
      </c>
      <c r="T10" s="40">
        <f t="shared" si="15"/>
        <v>43543</v>
      </c>
      <c r="U10" s="40">
        <f t="shared" si="16"/>
        <v>43544</v>
      </c>
      <c r="V10" s="40">
        <f t="shared" si="17"/>
        <v>43545</v>
      </c>
      <c r="W10" s="40">
        <f t="shared" si="18"/>
        <v>43546</v>
      </c>
      <c r="X10" s="41">
        <f t="shared" si="19"/>
        <v>43547</v>
      </c>
      <c r="Y10" s="42">
        <f t="shared" si="20"/>
        <v>43548</v>
      </c>
      <c r="Z10" s="43"/>
      <c r="AA10" s="214"/>
      <c r="AC10" s="73"/>
    </row>
    <row r="11" spans="1:29" ht="20.6" customHeight="1" x14ac:dyDescent="0.3">
      <c r="A11" s="15">
        <v>5</v>
      </c>
      <c r="B11" s="8"/>
      <c r="C11" s="39">
        <f t="shared" si="0"/>
        <v>43493</v>
      </c>
      <c r="D11" s="40">
        <f t="shared" si="1"/>
        <v>43494</v>
      </c>
      <c r="E11" s="40">
        <f t="shared" si="2"/>
        <v>43495</v>
      </c>
      <c r="F11" s="40">
        <f t="shared" si="3"/>
        <v>43496</v>
      </c>
      <c r="G11" s="40">
        <f t="shared" si="4"/>
        <v>43497</v>
      </c>
      <c r="H11" s="41">
        <f t="shared" si="5"/>
        <v>43498</v>
      </c>
      <c r="I11" s="42">
        <f t="shared" si="6"/>
        <v>43499</v>
      </c>
      <c r="J11" s="15"/>
      <c r="K11" s="39">
        <f t="shared" si="7"/>
        <v>43521</v>
      </c>
      <c r="L11" s="40">
        <f t="shared" si="8"/>
        <v>43522</v>
      </c>
      <c r="M11" s="40">
        <f t="shared" si="9"/>
        <v>43523</v>
      </c>
      <c r="N11" s="40">
        <f t="shared" si="10"/>
        <v>43524</v>
      </c>
      <c r="O11" s="40">
        <f t="shared" si="11"/>
        <v>43525</v>
      </c>
      <c r="P11" s="41">
        <f t="shared" si="12"/>
        <v>43526</v>
      </c>
      <c r="Q11" s="42">
        <f t="shared" si="13"/>
        <v>43527</v>
      </c>
      <c r="R11" s="15"/>
      <c r="S11" s="39">
        <f t="shared" si="14"/>
        <v>43549</v>
      </c>
      <c r="T11" s="40">
        <f t="shared" si="15"/>
        <v>43550</v>
      </c>
      <c r="U11" s="40">
        <f t="shared" si="16"/>
        <v>43551</v>
      </c>
      <c r="V11" s="40">
        <f t="shared" si="17"/>
        <v>43552</v>
      </c>
      <c r="W11" s="40">
        <f t="shared" si="18"/>
        <v>43553</v>
      </c>
      <c r="X11" s="41">
        <f t="shared" si="19"/>
        <v>43554</v>
      </c>
      <c r="Y11" s="42">
        <f t="shared" si="20"/>
        <v>43555</v>
      </c>
      <c r="Z11" s="43"/>
      <c r="AA11" s="214"/>
    </row>
    <row r="12" spans="1:29" ht="20.6" customHeight="1" thickBot="1" x14ac:dyDescent="0.35">
      <c r="A12" s="15">
        <v>6</v>
      </c>
      <c r="B12" s="8"/>
      <c r="C12" s="45">
        <f t="shared" si="0"/>
        <v>43500</v>
      </c>
      <c r="D12" s="46">
        <f t="shared" si="1"/>
        <v>43501</v>
      </c>
      <c r="E12" s="46">
        <f t="shared" si="2"/>
        <v>43502</v>
      </c>
      <c r="F12" s="46">
        <f t="shared" si="3"/>
        <v>43503</v>
      </c>
      <c r="G12" s="46">
        <f t="shared" si="4"/>
        <v>43504</v>
      </c>
      <c r="H12" s="47">
        <f t="shared" si="5"/>
        <v>43505</v>
      </c>
      <c r="I12" s="48">
        <f t="shared" si="6"/>
        <v>43506</v>
      </c>
      <c r="J12" s="15"/>
      <c r="K12" s="45">
        <f t="shared" si="7"/>
        <v>43528</v>
      </c>
      <c r="L12" s="46">
        <f t="shared" si="8"/>
        <v>43529</v>
      </c>
      <c r="M12" s="46">
        <f t="shared" si="9"/>
        <v>43530</v>
      </c>
      <c r="N12" s="46">
        <f t="shared" si="10"/>
        <v>43531</v>
      </c>
      <c r="O12" s="46">
        <f t="shared" si="11"/>
        <v>43532</v>
      </c>
      <c r="P12" s="47">
        <f t="shared" si="12"/>
        <v>43533</v>
      </c>
      <c r="Q12" s="48">
        <f t="shared" si="13"/>
        <v>43534</v>
      </c>
      <c r="R12" s="15"/>
      <c r="S12" s="45">
        <f t="shared" si="14"/>
        <v>43556</v>
      </c>
      <c r="T12" s="46">
        <f t="shared" si="15"/>
        <v>43557</v>
      </c>
      <c r="U12" s="46">
        <f t="shared" si="16"/>
        <v>43558</v>
      </c>
      <c r="V12" s="46">
        <f t="shared" si="17"/>
        <v>43559</v>
      </c>
      <c r="W12" s="46">
        <f t="shared" si="18"/>
        <v>43560</v>
      </c>
      <c r="X12" s="47">
        <f t="shared" si="19"/>
        <v>43561</v>
      </c>
      <c r="Y12" s="48">
        <f t="shared" si="20"/>
        <v>43562</v>
      </c>
      <c r="Z12" s="43"/>
      <c r="AA12" s="214"/>
    </row>
    <row r="13" spans="1:29" ht="13.35" customHeight="1" thickBot="1" x14ac:dyDescent="0.35">
      <c r="A13" s="15"/>
      <c r="B13" s="8"/>
      <c r="C13" s="215">
        <f>DATE(Anopt,4,1)</f>
        <v>43556</v>
      </c>
      <c r="D13" s="215"/>
      <c r="E13" s="215"/>
      <c r="F13" s="215"/>
      <c r="G13" s="215"/>
      <c r="H13" s="215"/>
      <c r="I13" s="215"/>
      <c r="J13" s="15"/>
      <c r="K13" s="215">
        <f>DATE(Anopt,5,1)</f>
        <v>43586</v>
      </c>
      <c r="L13" s="215"/>
      <c r="M13" s="215"/>
      <c r="N13" s="215"/>
      <c r="O13" s="215"/>
      <c r="P13" s="215"/>
      <c r="Q13" s="215"/>
      <c r="R13" s="15"/>
      <c r="S13" s="215">
        <f>DATE(Anopt,6,1)</f>
        <v>43617</v>
      </c>
      <c r="T13" s="215"/>
      <c r="U13" s="215"/>
      <c r="V13" s="215"/>
      <c r="W13" s="215"/>
      <c r="X13" s="215"/>
      <c r="Y13" s="215"/>
      <c r="Z13" s="49"/>
      <c r="AA13" s="214"/>
    </row>
    <row r="14" spans="1:29" s="20" customFormat="1" ht="20.6" customHeight="1" thickBot="1" x14ac:dyDescent="0.35">
      <c r="A14" s="10"/>
      <c r="B14" s="17"/>
      <c r="C14" s="216" t="str">
        <f>CHOOSE(MONTH(C4),"AVRIL")</f>
        <v>AVRIL</v>
      </c>
      <c r="D14" s="217"/>
      <c r="E14" s="217"/>
      <c r="F14" s="217"/>
      <c r="G14" s="217"/>
      <c r="H14" s="217"/>
      <c r="I14" s="218"/>
      <c r="J14" s="10"/>
      <c r="K14" s="216" t="str">
        <f>CHOOSE(MONTH(C4),"MAI")</f>
        <v>MAI</v>
      </c>
      <c r="L14" s="217"/>
      <c r="M14" s="217"/>
      <c r="N14" s="217"/>
      <c r="O14" s="217"/>
      <c r="P14" s="217"/>
      <c r="Q14" s="218"/>
      <c r="R14" s="10"/>
      <c r="S14" s="216" t="str">
        <f>CHOOSE(MONTH(C4),"JUIN")</f>
        <v>JUIN</v>
      </c>
      <c r="T14" s="217"/>
      <c r="U14" s="217"/>
      <c r="V14" s="217"/>
      <c r="W14" s="217"/>
      <c r="X14" s="217"/>
      <c r="Y14" s="218"/>
      <c r="Z14" s="50"/>
      <c r="AA14" s="214"/>
    </row>
    <row r="15" spans="1:29" s="20" customFormat="1" ht="16.350000000000001" customHeight="1" thickBot="1" x14ac:dyDescent="0.35">
      <c r="A15" s="10"/>
      <c r="B15" s="51"/>
      <c r="C15" s="74" t="s">
        <v>107</v>
      </c>
      <c r="D15" s="74" t="s">
        <v>108</v>
      </c>
      <c r="E15" s="74" t="s">
        <v>109</v>
      </c>
      <c r="F15" s="74" t="s">
        <v>109</v>
      </c>
      <c r="G15" s="74" t="s">
        <v>107</v>
      </c>
      <c r="H15" s="80" t="s">
        <v>107</v>
      </c>
      <c r="I15" s="80" t="s">
        <v>110</v>
      </c>
      <c r="J15" s="27"/>
      <c r="K15" s="74" t="s">
        <v>107</v>
      </c>
      <c r="L15" s="74" t="s">
        <v>108</v>
      </c>
      <c r="M15" s="74" t="s">
        <v>109</v>
      </c>
      <c r="N15" s="74" t="s">
        <v>109</v>
      </c>
      <c r="O15" s="74" t="s">
        <v>107</v>
      </c>
      <c r="P15" s="80" t="s">
        <v>107</v>
      </c>
      <c r="Q15" s="80" t="s">
        <v>110</v>
      </c>
      <c r="R15" s="27"/>
      <c r="S15" s="74" t="s">
        <v>107</v>
      </c>
      <c r="T15" s="74" t="s">
        <v>108</v>
      </c>
      <c r="U15" s="74" t="s">
        <v>109</v>
      </c>
      <c r="V15" s="74" t="s">
        <v>109</v>
      </c>
      <c r="W15" s="74" t="s">
        <v>107</v>
      </c>
      <c r="X15" s="80" t="s">
        <v>107</v>
      </c>
      <c r="Y15" s="80" t="s">
        <v>110</v>
      </c>
      <c r="Z15" s="52"/>
      <c r="AA15" s="214"/>
    </row>
    <row r="16" spans="1:29" ht="20.6" customHeight="1" x14ac:dyDescent="0.3">
      <c r="A16" s="15"/>
      <c r="B16" s="8"/>
      <c r="C16" s="35">
        <f t="shared" ref="C16:C21" si="21">DATE(Anopt,MONTH($C$13),1)-WEEKDAY(DATE(Anopt,MONTH($C$13),1),(Débutsempt="Lundi")+1)+$A7*7-6</f>
        <v>43556</v>
      </c>
      <c r="D16" s="36">
        <f t="shared" ref="D16:D21" si="22">DATE(Anopt,MONTH($C$13),1)-WEEKDAY(DATE(Anopt,MONTH($C$13),1),(Débutsempt="Lundi")+1)+$A7*7-5</f>
        <v>43557</v>
      </c>
      <c r="E16" s="36">
        <f t="shared" ref="E16:E21" si="23">DATE(Anopt,MONTH($C$13),1)-WEEKDAY(DATE(Anopt,MONTH($C$13),1),(Débutsempt="Lundi")+1)+$A7*7-4</f>
        <v>43558</v>
      </c>
      <c r="F16" s="36">
        <f t="shared" ref="F16:F21" si="24">DATE(Anopt,MONTH($C$13),1)-WEEKDAY(DATE(Anopt,MONTH($C$13),1),(Débutsempt="Lundi")+1)+$A7*7-3</f>
        <v>43559</v>
      </c>
      <c r="G16" s="36">
        <f t="shared" ref="G16:G21" si="25">DATE(Anopt,MONTH($C$13),1)-WEEKDAY(DATE(Anopt,MONTH($C$13),1),(Débutsempt="Lundi")+1)+$A7*7-2</f>
        <v>43560</v>
      </c>
      <c r="H16" s="37">
        <f t="shared" ref="H16:H21" si="26">DATE(Anopt,MONTH($C$13),1)-WEEKDAY(DATE(Anopt,MONTH($C$13),1),(Débutsempt="Lundi")+1)+$A7*7-1</f>
        <v>43561</v>
      </c>
      <c r="I16" s="38">
        <f t="shared" ref="I16:I21" si="27">DATE(Anopt,MONTH($C$13),1)-WEEKDAY(DATE(Anopt,MONTH($C$13),1),(Débutsempt="Lundi")+1)+$A7*7</f>
        <v>43562</v>
      </c>
      <c r="J16" s="15"/>
      <c r="K16" s="35">
        <f t="shared" ref="K16:K21" si="28">DATE(Anopt,MONTH($K$13),1)-WEEKDAY(DATE(Anopt,MONTH($K$13),1),(Débutsempt="Lundi")+1)+$A7*7-6</f>
        <v>43584</v>
      </c>
      <c r="L16" s="36">
        <f t="shared" ref="L16:L21" si="29">DATE(Anopt,MONTH($K$13),1)-WEEKDAY(DATE(Anopt,MONTH($K$13),1),(Débutsempt="Lundi")+1)+$A7*7-5</f>
        <v>43585</v>
      </c>
      <c r="M16" s="36">
        <f t="shared" ref="M16:M21" si="30">DATE(Anopt,MONTH($K$13),1)-WEEKDAY(DATE(Anopt,MONTH($K$13),1),(Débutsempt="Lundi")+1)+$A7*7-4</f>
        <v>43586</v>
      </c>
      <c r="N16" s="36">
        <f t="shared" ref="N16:N21" si="31">DATE(Anopt,MONTH($K$13),1)-WEEKDAY(DATE(Anopt,MONTH($K$13),1),(Débutsempt="Lundi")+1)+$A7*7-3</f>
        <v>43587</v>
      </c>
      <c r="O16" s="36">
        <f t="shared" ref="O16:O21" si="32">DATE(Anopt,MONTH($K$13),1)-WEEKDAY(DATE(Anopt,MONTH($K$13),1),(Débutsempt="Lundi")+1)+$A7*7-2</f>
        <v>43588</v>
      </c>
      <c r="P16" s="37">
        <f t="shared" ref="P16:P21" si="33">DATE(Anopt,MONTH($K$13),1)-WEEKDAY(DATE(Anopt,MONTH($K$13),1),(Débutsempt="Lundi")+1)+$A7*7-1</f>
        <v>43589</v>
      </c>
      <c r="Q16" s="38">
        <f t="shared" ref="Q16:Q21" si="34">DATE(Anopt,MONTH($K$13),1)-WEEKDAY(DATE(Anopt,MONTH($K$13),1),(Débutsempt="Lundi")+1)+$A7*7</f>
        <v>43590</v>
      </c>
      <c r="R16" s="15"/>
      <c r="S16" s="35">
        <f t="shared" ref="S16:S21" si="35">DATE(Anopt,MONTH($S$13),1)-WEEKDAY(DATE(Anopt,MONTH($S$13),1),(Débutsempt="Lundi")+1)+$A7*7-6</f>
        <v>43612</v>
      </c>
      <c r="T16" s="36">
        <f t="shared" ref="T16:T21" si="36">DATE(Anopt,MONTH($S$13),1)-WEEKDAY(DATE(Anopt,MONTH($S$13),1),(Débutsempt="Lundi")+1)+$A7*7-5</f>
        <v>43613</v>
      </c>
      <c r="U16" s="36">
        <f t="shared" ref="U16:U21" si="37">DATE(Anopt,MONTH($S$13),1)-WEEKDAY(DATE(Anopt,MONTH($S$13),1),(Débutsempt="Lundi")+1)+$A7*7-4</f>
        <v>43614</v>
      </c>
      <c r="V16" s="36">
        <f t="shared" ref="V16:V21" si="38">DATE(Anopt,MONTH($S$13),1)-WEEKDAY(DATE(Anopt,MONTH($S$13),1),(Débutsempt="Lundi")+1)+$A7*7-3</f>
        <v>43615</v>
      </c>
      <c r="W16" s="36">
        <f t="shared" ref="W16:W21" si="39">DATE(Anopt,MONTH($S$13),1)-WEEKDAY(DATE(Anopt,MONTH($S$13),1),(Débutsempt="Lundi")+1)+$A7*7-2</f>
        <v>43616</v>
      </c>
      <c r="X16" s="37">
        <f t="shared" ref="X16:X21" si="40">DATE(Anopt,MONTH($S$13),1)-WEEKDAY(DATE(Anopt,MONTH($S$13),1),(Débutsempt="Lundi")+1)+$A7*7-1</f>
        <v>43617</v>
      </c>
      <c r="Y16" s="38">
        <f t="shared" ref="Y16:Y21" si="41">DATE(Anopt,MONTH($S$13),1)-WEEKDAY(DATE(Anopt,MONTH($S$13),1),(Débutsempt="Lundi")+1)+$A7*7</f>
        <v>43618</v>
      </c>
      <c r="Z16" s="14"/>
      <c r="AA16" s="214"/>
    </row>
    <row r="17" spans="1:27" ht="20.6" customHeight="1" x14ac:dyDescent="0.3">
      <c r="A17" s="15"/>
      <c r="B17" s="8"/>
      <c r="C17" s="39">
        <f t="shared" si="21"/>
        <v>43563</v>
      </c>
      <c r="D17" s="40">
        <f t="shared" si="22"/>
        <v>43564</v>
      </c>
      <c r="E17" s="40">
        <f t="shared" si="23"/>
        <v>43565</v>
      </c>
      <c r="F17" s="40">
        <f t="shared" si="24"/>
        <v>43566</v>
      </c>
      <c r="G17" s="40">
        <f t="shared" si="25"/>
        <v>43567</v>
      </c>
      <c r="H17" s="41">
        <f t="shared" si="26"/>
        <v>43568</v>
      </c>
      <c r="I17" s="42">
        <f t="shared" si="27"/>
        <v>43569</v>
      </c>
      <c r="J17" s="15"/>
      <c r="K17" s="39">
        <f t="shared" si="28"/>
        <v>43591</v>
      </c>
      <c r="L17" s="40">
        <f t="shared" si="29"/>
        <v>43592</v>
      </c>
      <c r="M17" s="40">
        <f t="shared" si="30"/>
        <v>43593</v>
      </c>
      <c r="N17" s="40">
        <f t="shared" si="31"/>
        <v>43594</v>
      </c>
      <c r="O17" s="40">
        <f t="shared" si="32"/>
        <v>43595</v>
      </c>
      <c r="P17" s="41">
        <f t="shared" si="33"/>
        <v>43596</v>
      </c>
      <c r="Q17" s="42">
        <f t="shared" si="34"/>
        <v>43597</v>
      </c>
      <c r="R17" s="15"/>
      <c r="S17" s="39">
        <f t="shared" si="35"/>
        <v>43619</v>
      </c>
      <c r="T17" s="40">
        <f t="shared" si="36"/>
        <v>43620</v>
      </c>
      <c r="U17" s="40">
        <f t="shared" si="37"/>
        <v>43621</v>
      </c>
      <c r="V17" s="40">
        <f t="shared" si="38"/>
        <v>43622</v>
      </c>
      <c r="W17" s="40">
        <f t="shared" si="39"/>
        <v>43623</v>
      </c>
      <c r="X17" s="41">
        <f t="shared" si="40"/>
        <v>43624</v>
      </c>
      <c r="Y17" s="42">
        <f t="shared" si="41"/>
        <v>43625</v>
      </c>
      <c r="Z17" s="14"/>
      <c r="AA17" s="214"/>
    </row>
    <row r="18" spans="1:27" ht="20.6" customHeight="1" x14ac:dyDescent="0.3">
      <c r="A18" s="15"/>
      <c r="B18" s="8"/>
      <c r="C18" s="39">
        <f t="shared" si="21"/>
        <v>43570</v>
      </c>
      <c r="D18" s="40">
        <f t="shared" si="22"/>
        <v>43571</v>
      </c>
      <c r="E18" s="40">
        <f t="shared" si="23"/>
        <v>43572</v>
      </c>
      <c r="F18" s="40">
        <f t="shared" si="24"/>
        <v>43573</v>
      </c>
      <c r="G18" s="40">
        <f t="shared" si="25"/>
        <v>43574</v>
      </c>
      <c r="H18" s="41">
        <f t="shared" si="26"/>
        <v>43575</v>
      </c>
      <c r="I18" s="42">
        <f t="shared" si="27"/>
        <v>43576</v>
      </c>
      <c r="J18" s="15"/>
      <c r="K18" s="39">
        <f t="shared" si="28"/>
        <v>43598</v>
      </c>
      <c r="L18" s="40">
        <f t="shared" si="29"/>
        <v>43599</v>
      </c>
      <c r="M18" s="40">
        <f t="shared" si="30"/>
        <v>43600</v>
      </c>
      <c r="N18" s="40">
        <f t="shared" si="31"/>
        <v>43601</v>
      </c>
      <c r="O18" s="40">
        <f t="shared" si="32"/>
        <v>43602</v>
      </c>
      <c r="P18" s="41">
        <f t="shared" si="33"/>
        <v>43603</v>
      </c>
      <c r="Q18" s="42">
        <f t="shared" si="34"/>
        <v>43604</v>
      </c>
      <c r="R18" s="15"/>
      <c r="S18" s="39">
        <f t="shared" si="35"/>
        <v>43626</v>
      </c>
      <c r="T18" s="40">
        <f t="shared" si="36"/>
        <v>43627</v>
      </c>
      <c r="U18" s="40">
        <f t="shared" si="37"/>
        <v>43628</v>
      </c>
      <c r="V18" s="40">
        <f t="shared" si="38"/>
        <v>43629</v>
      </c>
      <c r="W18" s="40">
        <f t="shared" si="39"/>
        <v>43630</v>
      </c>
      <c r="X18" s="41">
        <f t="shared" si="40"/>
        <v>43631</v>
      </c>
      <c r="Y18" s="42">
        <f t="shared" si="41"/>
        <v>43632</v>
      </c>
      <c r="Z18" s="14"/>
      <c r="AA18" s="214"/>
    </row>
    <row r="19" spans="1:27" ht="20.6" customHeight="1" x14ac:dyDescent="0.3">
      <c r="A19" s="15"/>
      <c r="B19" s="8"/>
      <c r="C19" s="39">
        <f t="shared" si="21"/>
        <v>43577</v>
      </c>
      <c r="D19" s="40">
        <f t="shared" si="22"/>
        <v>43578</v>
      </c>
      <c r="E19" s="40">
        <f t="shared" si="23"/>
        <v>43579</v>
      </c>
      <c r="F19" s="40">
        <f t="shared" si="24"/>
        <v>43580</v>
      </c>
      <c r="G19" s="40">
        <f t="shared" si="25"/>
        <v>43581</v>
      </c>
      <c r="H19" s="41">
        <f t="shared" si="26"/>
        <v>43582</v>
      </c>
      <c r="I19" s="42">
        <f t="shared" si="27"/>
        <v>43583</v>
      </c>
      <c r="J19" s="15"/>
      <c r="K19" s="39">
        <f t="shared" si="28"/>
        <v>43605</v>
      </c>
      <c r="L19" s="40">
        <f t="shared" si="29"/>
        <v>43606</v>
      </c>
      <c r="M19" s="40">
        <f t="shared" si="30"/>
        <v>43607</v>
      </c>
      <c r="N19" s="40">
        <f t="shared" si="31"/>
        <v>43608</v>
      </c>
      <c r="O19" s="40">
        <f t="shared" si="32"/>
        <v>43609</v>
      </c>
      <c r="P19" s="41">
        <f t="shared" si="33"/>
        <v>43610</v>
      </c>
      <c r="Q19" s="42">
        <f t="shared" si="34"/>
        <v>43611</v>
      </c>
      <c r="R19" s="15"/>
      <c r="S19" s="39">
        <f t="shared" si="35"/>
        <v>43633</v>
      </c>
      <c r="T19" s="40">
        <f t="shared" si="36"/>
        <v>43634</v>
      </c>
      <c r="U19" s="40">
        <f t="shared" si="37"/>
        <v>43635</v>
      </c>
      <c r="V19" s="40">
        <f t="shared" si="38"/>
        <v>43636</v>
      </c>
      <c r="W19" s="40">
        <f t="shared" si="39"/>
        <v>43637</v>
      </c>
      <c r="X19" s="41">
        <f t="shared" si="40"/>
        <v>43638</v>
      </c>
      <c r="Y19" s="42">
        <f t="shared" si="41"/>
        <v>43639</v>
      </c>
      <c r="Z19" s="14"/>
      <c r="AA19" s="214"/>
    </row>
    <row r="20" spans="1:27" ht="20.6" customHeight="1" x14ac:dyDescent="0.3">
      <c r="A20" s="15"/>
      <c r="B20" s="8"/>
      <c r="C20" s="39">
        <f t="shared" si="21"/>
        <v>43584</v>
      </c>
      <c r="D20" s="40">
        <f t="shared" si="22"/>
        <v>43585</v>
      </c>
      <c r="E20" s="40">
        <f t="shared" si="23"/>
        <v>43586</v>
      </c>
      <c r="F20" s="40">
        <f t="shared" si="24"/>
        <v>43587</v>
      </c>
      <c r="G20" s="40">
        <f t="shared" si="25"/>
        <v>43588</v>
      </c>
      <c r="H20" s="41">
        <f t="shared" si="26"/>
        <v>43589</v>
      </c>
      <c r="I20" s="42">
        <f t="shared" si="27"/>
        <v>43590</v>
      </c>
      <c r="J20" s="15"/>
      <c r="K20" s="39">
        <f t="shared" si="28"/>
        <v>43612</v>
      </c>
      <c r="L20" s="40">
        <f t="shared" si="29"/>
        <v>43613</v>
      </c>
      <c r="M20" s="40">
        <f t="shared" si="30"/>
        <v>43614</v>
      </c>
      <c r="N20" s="40">
        <f t="shared" si="31"/>
        <v>43615</v>
      </c>
      <c r="O20" s="40">
        <f t="shared" si="32"/>
        <v>43616</v>
      </c>
      <c r="P20" s="41">
        <f t="shared" si="33"/>
        <v>43617</v>
      </c>
      <c r="Q20" s="42">
        <f t="shared" si="34"/>
        <v>43618</v>
      </c>
      <c r="R20" s="15"/>
      <c r="S20" s="39">
        <f t="shared" si="35"/>
        <v>43640</v>
      </c>
      <c r="T20" s="40">
        <f t="shared" si="36"/>
        <v>43641</v>
      </c>
      <c r="U20" s="40">
        <f t="shared" si="37"/>
        <v>43642</v>
      </c>
      <c r="V20" s="40">
        <f t="shared" si="38"/>
        <v>43643</v>
      </c>
      <c r="W20" s="40">
        <f t="shared" si="39"/>
        <v>43644</v>
      </c>
      <c r="X20" s="41">
        <f t="shared" si="40"/>
        <v>43645</v>
      </c>
      <c r="Y20" s="42">
        <f t="shared" si="41"/>
        <v>43646</v>
      </c>
      <c r="Z20" s="14"/>
      <c r="AA20" s="214"/>
    </row>
    <row r="21" spans="1:27" ht="20.6" customHeight="1" thickBot="1" x14ac:dyDescent="0.35">
      <c r="A21" s="15"/>
      <c r="B21" s="8"/>
      <c r="C21" s="45">
        <f t="shared" si="21"/>
        <v>43591</v>
      </c>
      <c r="D21" s="46">
        <f t="shared" si="22"/>
        <v>43592</v>
      </c>
      <c r="E21" s="46">
        <f t="shared" si="23"/>
        <v>43593</v>
      </c>
      <c r="F21" s="46">
        <f t="shared" si="24"/>
        <v>43594</v>
      </c>
      <c r="G21" s="46">
        <f t="shared" si="25"/>
        <v>43595</v>
      </c>
      <c r="H21" s="47">
        <f t="shared" si="26"/>
        <v>43596</v>
      </c>
      <c r="I21" s="48">
        <f t="shared" si="27"/>
        <v>43597</v>
      </c>
      <c r="J21" s="15"/>
      <c r="K21" s="45">
        <f t="shared" si="28"/>
        <v>43619</v>
      </c>
      <c r="L21" s="46">
        <f t="shared" si="29"/>
        <v>43620</v>
      </c>
      <c r="M21" s="46">
        <f t="shared" si="30"/>
        <v>43621</v>
      </c>
      <c r="N21" s="46">
        <f t="shared" si="31"/>
        <v>43622</v>
      </c>
      <c r="O21" s="46">
        <f t="shared" si="32"/>
        <v>43623</v>
      </c>
      <c r="P21" s="47">
        <f t="shared" si="33"/>
        <v>43624</v>
      </c>
      <c r="Q21" s="48">
        <f t="shared" si="34"/>
        <v>43625</v>
      </c>
      <c r="R21" s="15"/>
      <c r="S21" s="45">
        <f t="shared" si="35"/>
        <v>43647</v>
      </c>
      <c r="T21" s="46">
        <f t="shared" si="36"/>
        <v>43648</v>
      </c>
      <c r="U21" s="46">
        <f t="shared" si="37"/>
        <v>43649</v>
      </c>
      <c r="V21" s="46">
        <f t="shared" si="38"/>
        <v>43650</v>
      </c>
      <c r="W21" s="46">
        <f t="shared" si="39"/>
        <v>43651</v>
      </c>
      <c r="X21" s="47">
        <f t="shared" si="40"/>
        <v>43652</v>
      </c>
      <c r="Y21" s="48">
        <f t="shared" si="41"/>
        <v>43653</v>
      </c>
      <c r="Z21" s="14"/>
      <c r="AA21" s="214"/>
    </row>
    <row r="22" spans="1:27" ht="13.35" customHeight="1" thickBot="1" x14ac:dyDescent="0.35">
      <c r="A22" s="15"/>
      <c r="B22" s="8"/>
      <c r="C22" s="215">
        <f>DATE(Anopt,7,1)</f>
        <v>43647</v>
      </c>
      <c r="D22" s="215"/>
      <c r="E22" s="215"/>
      <c r="F22" s="215"/>
      <c r="G22" s="215"/>
      <c r="H22" s="215"/>
      <c r="I22" s="215"/>
      <c r="J22" s="15"/>
      <c r="K22" s="215">
        <f>DATE(Anopt,8,1)</f>
        <v>43678</v>
      </c>
      <c r="L22" s="215"/>
      <c r="M22" s="215"/>
      <c r="N22" s="215"/>
      <c r="O22" s="215"/>
      <c r="P22" s="215"/>
      <c r="Q22" s="215"/>
      <c r="R22" s="15"/>
      <c r="S22" s="215">
        <f>DATE(Anopt,9,1)</f>
        <v>43709</v>
      </c>
      <c r="T22" s="215"/>
      <c r="U22" s="215"/>
      <c r="V22" s="215"/>
      <c r="W22" s="215"/>
      <c r="X22" s="215"/>
      <c r="Y22" s="215"/>
      <c r="Z22" s="7"/>
      <c r="AA22" s="214"/>
    </row>
    <row r="23" spans="1:27" s="20" customFormat="1" ht="20.6" customHeight="1" thickBot="1" x14ac:dyDescent="0.35">
      <c r="A23" s="10"/>
      <c r="B23" s="17"/>
      <c r="C23" s="216" t="str">
        <f>CHOOSE(MONTH(C4),"JUILLET")</f>
        <v>JUILLET</v>
      </c>
      <c r="D23" s="217"/>
      <c r="E23" s="217"/>
      <c r="F23" s="217"/>
      <c r="G23" s="217"/>
      <c r="H23" s="217"/>
      <c r="I23" s="218"/>
      <c r="J23" s="10"/>
      <c r="K23" s="216" t="str">
        <f>CHOOSE(MONTH(C4),"AOÛT")</f>
        <v>AOÛT</v>
      </c>
      <c r="L23" s="217"/>
      <c r="M23" s="217"/>
      <c r="N23" s="217"/>
      <c r="O23" s="217"/>
      <c r="P23" s="217"/>
      <c r="Q23" s="218"/>
      <c r="R23" s="10"/>
      <c r="S23" s="219" t="str">
        <f>CHOOSE(MONTH(C4),"SEPTEMBRE")</f>
        <v>SEPTEMBRE</v>
      </c>
      <c r="T23" s="220"/>
      <c r="U23" s="220"/>
      <c r="V23" s="220"/>
      <c r="W23" s="220"/>
      <c r="X23" s="220"/>
      <c r="Y23" s="218"/>
      <c r="Z23" s="19"/>
      <c r="AA23" s="214"/>
    </row>
    <row r="24" spans="1:27" s="20" customFormat="1" ht="16.350000000000001" customHeight="1" thickBot="1" x14ac:dyDescent="0.35">
      <c r="A24" s="10"/>
      <c r="B24" s="51"/>
      <c r="C24" s="74" t="s">
        <v>107</v>
      </c>
      <c r="D24" s="74" t="s">
        <v>108</v>
      </c>
      <c r="E24" s="74" t="s">
        <v>109</v>
      </c>
      <c r="F24" s="74" t="s">
        <v>109</v>
      </c>
      <c r="G24" s="74" t="s">
        <v>107</v>
      </c>
      <c r="H24" s="80" t="s">
        <v>107</v>
      </c>
      <c r="I24" s="80" t="s">
        <v>110</v>
      </c>
      <c r="J24" s="27"/>
      <c r="K24" s="74" t="s">
        <v>107</v>
      </c>
      <c r="L24" s="74" t="s">
        <v>108</v>
      </c>
      <c r="M24" s="74" t="s">
        <v>109</v>
      </c>
      <c r="N24" s="74" t="s">
        <v>109</v>
      </c>
      <c r="O24" s="74" t="s">
        <v>107</v>
      </c>
      <c r="P24" s="80" t="s">
        <v>107</v>
      </c>
      <c r="Q24" s="80" t="s">
        <v>110</v>
      </c>
      <c r="R24" s="44"/>
      <c r="S24" s="74" t="s">
        <v>107</v>
      </c>
      <c r="T24" s="74" t="s">
        <v>108</v>
      </c>
      <c r="U24" s="74" t="s">
        <v>109</v>
      </c>
      <c r="V24" s="74" t="s">
        <v>109</v>
      </c>
      <c r="W24" s="74" t="s">
        <v>107</v>
      </c>
      <c r="X24" s="80" t="s">
        <v>107</v>
      </c>
      <c r="Y24" s="80" t="s">
        <v>110</v>
      </c>
      <c r="Z24" s="57"/>
      <c r="AA24" s="214"/>
    </row>
    <row r="25" spans="1:27" ht="20.6" customHeight="1" x14ac:dyDescent="0.3">
      <c r="A25" s="15">
        <v>1</v>
      </c>
      <c r="B25" s="8"/>
      <c r="C25" s="35">
        <f t="shared" ref="C25:C30" si="42">DATE(Anopt,MONTH($C$22),1)-WEEKDAY(DATE(Anopt,MONTH($C$22),1),(Débutsempt="Lundi")+1)+$A7*7-6</f>
        <v>43647</v>
      </c>
      <c r="D25" s="36">
        <f t="shared" ref="D25:D30" si="43">DATE(Anopt,MONTH($C$22),1)-WEEKDAY(DATE(Anopt,MONTH($C$22),1),(Débutsempt="Lundi")+1)+$A7*7-5</f>
        <v>43648</v>
      </c>
      <c r="E25" s="36">
        <f t="shared" ref="E25:E30" si="44">DATE(Anopt,MONTH($C$22),1)-WEEKDAY(DATE(Anopt,MONTH($C$22),1),(Débutsempt="Lundi")+1)+$A7*7-4</f>
        <v>43649</v>
      </c>
      <c r="F25" s="36">
        <f t="shared" ref="F25:F30" si="45">DATE(Anopt,MONTH($C$22),1)-WEEKDAY(DATE(Anopt,MONTH($C$22),1),(Débutsempt="Lundi")+1)+$A7*7-3</f>
        <v>43650</v>
      </c>
      <c r="G25" s="36">
        <f t="shared" ref="G25:G30" si="46">DATE(Anopt,MONTH($C$22),1)-WEEKDAY(DATE(Anopt,MONTH($C$22),1),(Débutsempt="Lundi")+1)+$A7*7-2</f>
        <v>43651</v>
      </c>
      <c r="H25" s="37">
        <f t="shared" ref="H25:H30" si="47">DATE(Anopt,MONTH($C$22),1)-WEEKDAY(DATE(Anopt,MONTH($C$22),1),(Débutsempt="Lundi")+1)+$A7*7-1</f>
        <v>43652</v>
      </c>
      <c r="I25" s="38">
        <f t="shared" ref="I25:I30" si="48">DATE(Anopt,MONTH($C$22),1)-WEEKDAY(DATE(Anopt,MONTH($C$22),1),(Débutsempt="Lundi")+1)+$A7*7</f>
        <v>43653</v>
      </c>
      <c r="J25" s="15"/>
      <c r="K25" s="35">
        <f t="shared" ref="K25:K30" si="49">DATE(Anopt,MONTH($K$22),1)-WEEKDAY(DATE(Anopt,MONTH($K$22),1),(Débutsempt="Lundi")+1)+$A7*7-6</f>
        <v>43675</v>
      </c>
      <c r="L25" s="36">
        <f t="shared" ref="L25:L30" si="50">DATE(Anopt,MONTH($K$22),1)-WEEKDAY(DATE(Anopt,MONTH($K$22),1),(Débutsempt="Lundi")+1)+$A7*7-5</f>
        <v>43676</v>
      </c>
      <c r="M25" s="36">
        <f t="shared" ref="M25:M30" si="51">DATE(Anopt,MONTH($K$22),1)-WEEKDAY(DATE(Anopt,MONTH($K$22),1),(Débutsempt="Lundi")+1)+$A7*7-4</f>
        <v>43677</v>
      </c>
      <c r="N25" s="36">
        <f t="shared" ref="N25:N30" si="52">DATE(Anopt,MONTH($K$22),1)-WEEKDAY(DATE(Anopt,MONTH($K$22),1),(Débutsempt="Lundi")+1)+$A7*7-3</f>
        <v>43678</v>
      </c>
      <c r="O25" s="36">
        <f t="shared" ref="O25:O30" si="53">DATE(Anopt,MONTH($K$22),1)-WEEKDAY(DATE(Anopt,MONTH($K$22),1),(Débutsempt="Lundi")+1)+$A7*7-2</f>
        <v>43679</v>
      </c>
      <c r="P25" s="37">
        <f t="shared" ref="P25:P30" si="54">DATE(Anopt,MONTH($K$22),1)-WEEKDAY(DATE(Anopt,MONTH($K$22),1),(Débutsempt="Lundi")+1)+$A7*7-1</f>
        <v>43680</v>
      </c>
      <c r="Q25" s="38">
        <f t="shared" ref="Q25:Q30" si="55">DATE(Anopt,MONTH($K$22),1)-WEEKDAY(DATE(Anopt,MONTH($K$22),1),(Débutsempt="Lundi")+1)+$A7*7</f>
        <v>43681</v>
      </c>
      <c r="R25" s="15"/>
      <c r="S25" s="35">
        <f t="shared" ref="S25:S30" si="56">DATE(Anopt,MONTH($S$22),1)-WEEKDAY(DATE(Anopt,MONTH($S$22),1),(Débutsempt="Lundi")+1)+$A7*7-6</f>
        <v>43703</v>
      </c>
      <c r="T25" s="36">
        <f t="shared" ref="T25:T30" si="57">DATE(Anopt,MONTH($S$22),1)-WEEKDAY(DATE(Anopt,MONTH($S$22),1),(Débutsempt="Lundi")+1)+$A7*7-5</f>
        <v>43704</v>
      </c>
      <c r="U25" s="36">
        <f t="shared" ref="U25:U30" si="58">DATE(Anopt,MONTH($S$22),1)-WEEKDAY(DATE(Anopt,MONTH($S$22),1),(Débutsempt="Lundi")+1)+$A7*7-4</f>
        <v>43705</v>
      </c>
      <c r="V25" s="36">
        <f t="shared" ref="V25:V30" si="59">DATE(Anopt,MONTH($S$22),1)-WEEKDAY(DATE(Anopt,MONTH($S$22),1),(Débutsempt="Lundi")+1)+$A7*7-3</f>
        <v>43706</v>
      </c>
      <c r="W25" s="36">
        <f t="shared" ref="W25:W30" si="60">DATE(Anopt,MONTH($S$22),1)-WEEKDAY(DATE(Anopt,MONTH($S$22),1),(Débutsempt="Lundi")+1)+$A7*7-2</f>
        <v>43707</v>
      </c>
      <c r="X25" s="37">
        <f t="shared" ref="X25:X30" si="61">DATE(Anopt,MONTH($S$22),1)-WEEKDAY(DATE(Anopt,MONTH($S$22),1),(Débutsempt="Lundi")+1)+$A7*7-1</f>
        <v>43708</v>
      </c>
      <c r="Y25" s="38">
        <f t="shared" ref="Y25:Y30" si="62">DATE(Anopt,MONTH($S$22),1)-WEEKDAY(DATE(Anopt,MONTH($S$22),1),(Débutsempt="Lundi")+1)+$A7*7</f>
        <v>43709</v>
      </c>
      <c r="Z25" s="14"/>
      <c r="AA25" s="214"/>
    </row>
    <row r="26" spans="1:27" ht="20.6" customHeight="1" x14ac:dyDescent="0.3">
      <c r="A26" s="15">
        <v>2</v>
      </c>
      <c r="B26" s="8"/>
      <c r="C26" s="39">
        <f t="shared" si="42"/>
        <v>43654</v>
      </c>
      <c r="D26" s="40">
        <f t="shared" si="43"/>
        <v>43655</v>
      </c>
      <c r="E26" s="40">
        <f t="shared" si="44"/>
        <v>43656</v>
      </c>
      <c r="F26" s="40">
        <f t="shared" si="45"/>
        <v>43657</v>
      </c>
      <c r="G26" s="40">
        <f t="shared" si="46"/>
        <v>43658</v>
      </c>
      <c r="H26" s="41">
        <f t="shared" si="47"/>
        <v>43659</v>
      </c>
      <c r="I26" s="42">
        <f t="shared" si="48"/>
        <v>43660</v>
      </c>
      <c r="J26" s="15"/>
      <c r="K26" s="39">
        <f t="shared" si="49"/>
        <v>43682</v>
      </c>
      <c r="L26" s="40">
        <f t="shared" si="50"/>
        <v>43683</v>
      </c>
      <c r="M26" s="40">
        <f t="shared" si="51"/>
        <v>43684</v>
      </c>
      <c r="N26" s="40">
        <f t="shared" si="52"/>
        <v>43685</v>
      </c>
      <c r="O26" s="40">
        <f t="shared" si="53"/>
        <v>43686</v>
      </c>
      <c r="P26" s="41">
        <f t="shared" si="54"/>
        <v>43687</v>
      </c>
      <c r="Q26" s="42">
        <f t="shared" si="55"/>
        <v>43688</v>
      </c>
      <c r="R26" s="15"/>
      <c r="S26" s="39">
        <f t="shared" si="56"/>
        <v>43710</v>
      </c>
      <c r="T26" s="40">
        <f t="shared" si="57"/>
        <v>43711</v>
      </c>
      <c r="U26" s="40">
        <f t="shared" si="58"/>
        <v>43712</v>
      </c>
      <c r="V26" s="40">
        <f t="shared" si="59"/>
        <v>43713</v>
      </c>
      <c r="W26" s="40">
        <f t="shared" si="60"/>
        <v>43714</v>
      </c>
      <c r="X26" s="41">
        <f t="shared" si="61"/>
        <v>43715</v>
      </c>
      <c r="Y26" s="42">
        <f t="shared" si="62"/>
        <v>43716</v>
      </c>
      <c r="Z26" s="14"/>
      <c r="AA26" s="214"/>
    </row>
    <row r="27" spans="1:27" ht="20.6" customHeight="1" x14ac:dyDescent="0.3">
      <c r="A27" s="15">
        <v>3</v>
      </c>
      <c r="B27" s="8"/>
      <c r="C27" s="39">
        <f t="shared" si="42"/>
        <v>43661</v>
      </c>
      <c r="D27" s="40">
        <f t="shared" si="43"/>
        <v>43662</v>
      </c>
      <c r="E27" s="40">
        <f t="shared" si="44"/>
        <v>43663</v>
      </c>
      <c r="F27" s="40">
        <f t="shared" si="45"/>
        <v>43664</v>
      </c>
      <c r="G27" s="40">
        <f t="shared" si="46"/>
        <v>43665</v>
      </c>
      <c r="H27" s="41">
        <f t="shared" si="47"/>
        <v>43666</v>
      </c>
      <c r="I27" s="42">
        <f t="shared" si="48"/>
        <v>43667</v>
      </c>
      <c r="J27" s="15"/>
      <c r="K27" s="39">
        <f t="shared" si="49"/>
        <v>43689</v>
      </c>
      <c r="L27" s="40">
        <f t="shared" si="50"/>
        <v>43690</v>
      </c>
      <c r="M27" s="40">
        <f t="shared" si="51"/>
        <v>43691</v>
      </c>
      <c r="N27" s="40">
        <f t="shared" si="52"/>
        <v>43692</v>
      </c>
      <c r="O27" s="40">
        <f t="shared" si="53"/>
        <v>43693</v>
      </c>
      <c r="P27" s="41">
        <f t="shared" si="54"/>
        <v>43694</v>
      </c>
      <c r="Q27" s="42">
        <f t="shared" si="55"/>
        <v>43695</v>
      </c>
      <c r="R27" s="15"/>
      <c r="S27" s="39">
        <f t="shared" si="56"/>
        <v>43717</v>
      </c>
      <c r="T27" s="40">
        <f t="shared" si="57"/>
        <v>43718</v>
      </c>
      <c r="U27" s="40">
        <f t="shared" si="58"/>
        <v>43719</v>
      </c>
      <c r="V27" s="40">
        <f t="shared" si="59"/>
        <v>43720</v>
      </c>
      <c r="W27" s="40">
        <f t="shared" si="60"/>
        <v>43721</v>
      </c>
      <c r="X27" s="41">
        <f t="shared" si="61"/>
        <v>43722</v>
      </c>
      <c r="Y27" s="42">
        <f t="shared" si="62"/>
        <v>43723</v>
      </c>
      <c r="Z27" s="14"/>
      <c r="AA27" s="214"/>
    </row>
    <row r="28" spans="1:27" ht="20.6" customHeight="1" x14ac:dyDescent="0.3">
      <c r="A28" s="15">
        <v>4</v>
      </c>
      <c r="B28" s="8"/>
      <c r="C28" s="39">
        <f t="shared" si="42"/>
        <v>43668</v>
      </c>
      <c r="D28" s="40">
        <f t="shared" si="43"/>
        <v>43669</v>
      </c>
      <c r="E28" s="40">
        <f t="shared" si="44"/>
        <v>43670</v>
      </c>
      <c r="F28" s="40">
        <f t="shared" si="45"/>
        <v>43671</v>
      </c>
      <c r="G28" s="40">
        <f t="shared" si="46"/>
        <v>43672</v>
      </c>
      <c r="H28" s="41">
        <f t="shared" si="47"/>
        <v>43673</v>
      </c>
      <c r="I28" s="42">
        <f t="shared" si="48"/>
        <v>43674</v>
      </c>
      <c r="J28" s="15"/>
      <c r="K28" s="39">
        <f t="shared" si="49"/>
        <v>43696</v>
      </c>
      <c r="L28" s="40">
        <f t="shared" si="50"/>
        <v>43697</v>
      </c>
      <c r="M28" s="40">
        <f t="shared" si="51"/>
        <v>43698</v>
      </c>
      <c r="N28" s="40">
        <f t="shared" si="52"/>
        <v>43699</v>
      </c>
      <c r="O28" s="40">
        <f t="shared" si="53"/>
        <v>43700</v>
      </c>
      <c r="P28" s="41">
        <f t="shared" si="54"/>
        <v>43701</v>
      </c>
      <c r="Q28" s="42">
        <f t="shared" si="55"/>
        <v>43702</v>
      </c>
      <c r="R28" s="15"/>
      <c r="S28" s="39">
        <f t="shared" si="56"/>
        <v>43724</v>
      </c>
      <c r="T28" s="40">
        <f t="shared" si="57"/>
        <v>43725</v>
      </c>
      <c r="U28" s="40">
        <f t="shared" si="58"/>
        <v>43726</v>
      </c>
      <c r="V28" s="40">
        <f t="shared" si="59"/>
        <v>43727</v>
      </c>
      <c r="W28" s="40">
        <f t="shared" si="60"/>
        <v>43728</v>
      </c>
      <c r="X28" s="41">
        <f t="shared" si="61"/>
        <v>43729</v>
      </c>
      <c r="Y28" s="42">
        <f t="shared" si="62"/>
        <v>43730</v>
      </c>
      <c r="Z28" s="14"/>
      <c r="AA28" s="214"/>
    </row>
    <row r="29" spans="1:27" ht="20.6" customHeight="1" x14ac:dyDescent="0.3">
      <c r="A29" s="15">
        <v>5</v>
      </c>
      <c r="B29" s="8"/>
      <c r="C29" s="39">
        <f t="shared" si="42"/>
        <v>43675</v>
      </c>
      <c r="D29" s="40">
        <f t="shared" si="43"/>
        <v>43676</v>
      </c>
      <c r="E29" s="40">
        <f t="shared" si="44"/>
        <v>43677</v>
      </c>
      <c r="F29" s="40">
        <f t="shared" si="45"/>
        <v>43678</v>
      </c>
      <c r="G29" s="40">
        <f t="shared" si="46"/>
        <v>43679</v>
      </c>
      <c r="H29" s="41">
        <f t="shared" si="47"/>
        <v>43680</v>
      </c>
      <c r="I29" s="42">
        <f t="shared" si="48"/>
        <v>43681</v>
      </c>
      <c r="J29" s="15"/>
      <c r="K29" s="39">
        <f t="shared" si="49"/>
        <v>43703</v>
      </c>
      <c r="L29" s="40">
        <f t="shared" si="50"/>
        <v>43704</v>
      </c>
      <c r="M29" s="40">
        <f t="shared" si="51"/>
        <v>43705</v>
      </c>
      <c r="N29" s="40">
        <f t="shared" si="52"/>
        <v>43706</v>
      </c>
      <c r="O29" s="40">
        <f t="shared" si="53"/>
        <v>43707</v>
      </c>
      <c r="P29" s="41">
        <f t="shared" si="54"/>
        <v>43708</v>
      </c>
      <c r="Q29" s="42">
        <f t="shared" si="55"/>
        <v>43709</v>
      </c>
      <c r="R29" s="15"/>
      <c r="S29" s="39">
        <f t="shared" si="56"/>
        <v>43731</v>
      </c>
      <c r="T29" s="40">
        <f t="shared" si="57"/>
        <v>43732</v>
      </c>
      <c r="U29" s="40">
        <f t="shared" si="58"/>
        <v>43733</v>
      </c>
      <c r="V29" s="40">
        <f t="shared" si="59"/>
        <v>43734</v>
      </c>
      <c r="W29" s="40">
        <f t="shared" si="60"/>
        <v>43735</v>
      </c>
      <c r="X29" s="41">
        <f t="shared" si="61"/>
        <v>43736</v>
      </c>
      <c r="Y29" s="42">
        <f t="shared" si="62"/>
        <v>43737</v>
      </c>
      <c r="Z29" s="14"/>
      <c r="AA29" s="214"/>
    </row>
    <row r="30" spans="1:27" ht="20.6" customHeight="1" thickBot="1" x14ac:dyDescent="0.35">
      <c r="A30" s="15">
        <v>6</v>
      </c>
      <c r="B30" s="8"/>
      <c r="C30" s="45">
        <f t="shared" si="42"/>
        <v>43682</v>
      </c>
      <c r="D30" s="46">
        <f t="shared" si="43"/>
        <v>43683</v>
      </c>
      <c r="E30" s="46">
        <f t="shared" si="44"/>
        <v>43684</v>
      </c>
      <c r="F30" s="46">
        <f t="shared" si="45"/>
        <v>43685</v>
      </c>
      <c r="G30" s="46">
        <f t="shared" si="46"/>
        <v>43686</v>
      </c>
      <c r="H30" s="47">
        <f t="shared" si="47"/>
        <v>43687</v>
      </c>
      <c r="I30" s="48">
        <f t="shared" si="48"/>
        <v>43688</v>
      </c>
      <c r="J30" s="15"/>
      <c r="K30" s="45">
        <f t="shared" si="49"/>
        <v>43710</v>
      </c>
      <c r="L30" s="46">
        <f t="shared" si="50"/>
        <v>43711</v>
      </c>
      <c r="M30" s="46">
        <f t="shared" si="51"/>
        <v>43712</v>
      </c>
      <c r="N30" s="46">
        <f t="shared" si="52"/>
        <v>43713</v>
      </c>
      <c r="O30" s="46">
        <f t="shared" si="53"/>
        <v>43714</v>
      </c>
      <c r="P30" s="47">
        <f t="shared" si="54"/>
        <v>43715</v>
      </c>
      <c r="Q30" s="48">
        <f t="shared" si="55"/>
        <v>43716</v>
      </c>
      <c r="R30" s="15"/>
      <c r="S30" s="45">
        <f t="shared" si="56"/>
        <v>43738</v>
      </c>
      <c r="T30" s="46">
        <f t="shared" si="57"/>
        <v>43739</v>
      </c>
      <c r="U30" s="46">
        <f t="shared" si="58"/>
        <v>43740</v>
      </c>
      <c r="V30" s="46">
        <f t="shared" si="59"/>
        <v>43741</v>
      </c>
      <c r="W30" s="46">
        <f t="shared" si="60"/>
        <v>43742</v>
      </c>
      <c r="X30" s="47">
        <f t="shared" si="61"/>
        <v>43743</v>
      </c>
      <c r="Y30" s="48">
        <f t="shared" si="62"/>
        <v>43744</v>
      </c>
      <c r="Z30" s="14"/>
      <c r="AA30" s="214"/>
    </row>
    <row r="31" spans="1:27" ht="13.35" customHeight="1" thickBot="1" x14ac:dyDescent="0.35">
      <c r="A31" s="15"/>
      <c r="B31" s="8"/>
      <c r="C31" s="215">
        <f>DATE(Anopt,10,1)</f>
        <v>43739</v>
      </c>
      <c r="D31" s="215"/>
      <c r="E31" s="215"/>
      <c r="F31" s="215"/>
      <c r="G31" s="215"/>
      <c r="H31" s="215"/>
      <c r="I31" s="215"/>
      <c r="J31" s="15"/>
      <c r="K31" s="215">
        <f>DATE(Anopt,11,1)</f>
        <v>43770</v>
      </c>
      <c r="L31" s="215"/>
      <c r="M31" s="215"/>
      <c r="N31" s="215"/>
      <c r="O31" s="215"/>
      <c r="P31" s="215"/>
      <c r="Q31" s="215"/>
      <c r="R31" s="15"/>
      <c r="S31" s="215">
        <f>DATE(Anopt,12,1)</f>
        <v>43800</v>
      </c>
      <c r="T31" s="215"/>
      <c r="U31" s="215"/>
      <c r="V31" s="215"/>
      <c r="W31" s="215"/>
      <c r="X31" s="215"/>
      <c r="Y31" s="215"/>
      <c r="Z31" s="7"/>
      <c r="AA31" s="214"/>
    </row>
    <row r="32" spans="1:27" s="20" customFormat="1" ht="20.6" customHeight="1" thickBot="1" x14ac:dyDescent="0.35">
      <c r="A32" s="10"/>
      <c r="B32" s="17"/>
      <c r="C32" s="216" t="str">
        <f>CHOOSE(MONTH(C4),"OCTOBRE")</f>
        <v>OCTOBRE</v>
      </c>
      <c r="D32" s="217"/>
      <c r="E32" s="217"/>
      <c r="F32" s="217"/>
      <c r="G32" s="217"/>
      <c r="H32" s="217"/>
      <c r="I32" s="218"/>
      <c r="J32" s="10"/>
      <c r="K32" s="216" t="str">
        <f>CHOOSE(MONTH(C4),"NOVEMBRE")</f>
        <v>NOVEMBRE</v>
      </c>
      <c r="L32" s="217"/>
      <c r="M32" s="217"/>
      <c r="N32" s="217"/>
      <c r="O32" s="217"/>
      <c r="P32" s="217"/>
      <c r="Q32" s="218"/>
      <c r="R32" s="10"/>
      <c r="S32" s="216" t="str">
        <f>CHOOSE(MONTH(C4),"DÉCEMBRE")</f>
        <v>DÉCEMBRE</v>
      </c>
      <c r="T32" s="217"/>
      <c r="U32" s="217"/>
      <c r="V32" s="217"/>
      <c r="W32" s="217"/>
      <c r="X32" s="217"/>
      <c r="Y32" s="218"/>
      <c r="Z32" s="19"/>
      <c r="AA32" s="214"/>
    </row>
    <row r="33" spans="1:27" s="20" customFormat="1" ht="16.350000000000001" customHeight="1" thickBot="1" x14ac:dyDescent="0.35">
      <c r="A33" s="10"/>
      <c r="B33" s="51"/>
      <c r="C33" s="74" t="s">
        <v>107</v>
      </c>
      <c r="D33" s="74" t="s">
        <v>108</v>
      </c>
      <c r="E33" s="74" t="s">
        <v>109</v>
      </c>
      <c r="F33" s="74" t="s">
        <v>109</v>
      </c>
      <c r="G33" s="74" t="s">
        <v>107</v>
      </c>
      <c r="H33" s="80" t="s">
        <v>107</v>
      </c>
      <c r="I33" s="80" t="s">
        <v>110</v>
      </c>
      <c r="J33" s="27"/>
      <c r="K33" s="74" t="s">
        <v>107</v>
      </c>
      <c r="L33" s="74" t="s">
        <v>108</v>
      </c>
      <c r="M33" s="74" t="s">
        <v>109</v>
      </c>
      <c r="N33" s="74" t="s">
        <v>109</v>
      </c>
      <c r="O33" s="74" t="s">
        <v>107</v>
      </c>
      <c r="P33" s="80" t="s">
        <v>107</v>
      </c>
      <c r="Q33" s="80" t="s">
        <v>110</v>
      </c>
      <c r="R33" s="27"/>
      <c r="S33" s="74" t="s">
        <v>107</v>
      </c>
      <c r="T33" s="74" t="s">
        <v>108</v>
      </c>
      <c r="U33" s="74" t="s">
        <v>109</v>
      </c>
      <c r="V33" s="74" t="s">
        <v>109</v>
      </c>
      <c r="W33" s="74" t="s">
        <v>107</v>
      </c>
      <c r="X33" s="80" t="s">
        <v>107</v>
      </c>
      <c r="Y33" s="80" t="s">
        <v>110</v>
      </c>
      <c r="Z33" s="78"/>
      <c r="AA33" s="214"/>
    </row>
    <row r="34" spans="1:27" ht="20.6" customHeight="1" x14ac:dyDescent="0.3">
      <c r="A34" s="15"/>
      <c r="B34" s="8"/>
      <c r="C34" s="35">
        <f t="shared" ref="C34:C39" si="63">DATE(Anopt,MONTH($C$31),1)-WEEKDAY(DATE(Anopt,MONTH($C$31),1),(Débutsempt="Lundi")+1)+$A7*7-6</f>
        <v>43738</v>
      </c>
      <c r="D34" s="36">
        <f t="shared" ref="D34:D39" si="64">DATE(Anopt,MONTH($C$31),1)-WEEKDAY(DATE(Anopt,MONTH($C$31),1),(Débutsempt="Lundi")+1)+$A7*7-5</f>
        <v>43739</v>
      </c>
      <c r="E34" s="36">
        <f t="shared" ref="E34:E39" si="65">DATE(Anopt,MONTH($C$31),1)-WEEKDAY(DATE(Anopt,MONTH($C$31),1),(Débutsempt="Lundi")+1)+$A7*7-4</f>
        <v>43740</v>
      </c>
      <c r="F34" s="36">
        <f t="shared" ref="F34:F39" si="66">DATE(Anopt,MONTH($C$31),1)-WEEKDAY(DATE(Anopt,MONTH($C$31),1),(Débutsempt="Lundi")+1)+$A7*7-3</f>
        <v>43741</v>
      </c>
      <c r="G34" s="36">
        <f t="shared" ref="G34:G39" si="67">DATE(Anopt,MONTH($C$31),1)-WEEKDAY(DATE(Anopt,MONTH($C$31),1),(Débutsempt="Lundi")+1)+$A7*7-2</f>
        <v>43742</v>
      </c>
      <c r="H34" s="37">
        <f t="shared" ref="H34:H39" si="68">DATE(Anopt,MONTH($C$31),1)-WEEKDAY(DATE(Anopt,MONTH($C$31),1),(Débutsempt="Lundi")+1)+$A7*7-1</f>
        <v>43743</v>
      </c>
      <c r="I34" s="38">
        <f t="shared" ref="I34:I39" si="69">DATE(Anopt,MONTH($C$31),1)-WEEKDAY(DATE(Anopt,MONTH($C$31),1),(Débutsempt="Lundi")+1)+$A7*7</f>
        <v>43744</v>
      </c>
      <c r="J34" s="15"/>
      <c r="K34" s="35">
        <f t="shared" ref="K34:K39" si="70">DATE(Anopt,MONTH($K$31),1)-WEEKDAY(DATE(Anopt,MONTH($K$31),1),(Débutsempt="Lundi")+1)+$A7*7-6</f>
        <v>43766</v>
      </c>
      <c r="L34" s="36">
        <f t="shared" ref="L34:L39" si="71">DATE(Anopt,MONTH($K$31),1)-WEEKDAY(DATE(Anopt,MONTH($K$31),1),(Débutsempt="Lundi")+1)+$A7*7-5</f>
        <v>43767</v>
      </c>
      <c r="M34" s="36">
        <f t="shared" ref="M34:M39" si="72">DATE(Anopt,MONTH($K$31),1)-WEEKDAY(DATE(Anopt,MONTH($K$31),1),(Débutsempt="Lundi")+1)+$A7*7-4</f>
        <v>43768</v>
      </c>
      <c r="N34" s="36">
        <f t="shared" ref="N34:N39" si="73">DATE(Anopt,MONTH($K$31),1)-WEEKDAY(DATE(Anopt,MONTH($K$31),1),(Débutsempt="Lundi")+1)+$A7*7-3</f>
        <v>43769</v>
      </c>
      <c r="O34" s="36">
        <f t="shared" ref="O34:O39" si="74">DATE(Anopt,MONTH($K$31),1)-WEEKDAY(DATE(Anopt,MONTH($K$31),1),(Débutsempt="Lundi")+1)+$A7*7-2</f>
        <v>43770</v>
      </c>
      <c r="P34" s="37">
        <f t="shared" ref="P34:P39" si="75">DATE(Anopt,MONTH($K$31),1)-WEEKDAY(DATE(Anopt,MONTH($K$31),1),(Débutsempt="Lundi")+1)+$A7*7-1</f>
        <v>43771</v>
      </c>
      <c r="Q34" s="38">
        <f t="shared" ref="Q34:Q39" si="76">DATE(Anopt,MONTH($K$31),1)-WEEKDAY(DATE(Anopt,MONTH($K$31),1),(Débutsempt="Lundi")+1)+$A7*7</f>
        <v>43772</v>
      </c>
      <c r="R34" s="15"/>
      <c r="S34" s="35">
        <f t="shared" ref="S34:S39" si="77">DATE(Anopt,MONTH($S$31),1)-WEEKDAY(DATE(Anopt,MONTH($S$31),1),(Débutsempt="Lundi")+1)+$A7*7-6</f>
        <v>43794</v>
      </c>
      <c r="T34" s="36">
        <f t="shared" ref="T34:T39" si="78">DATE(Anopt,MONTH($S$31),1)-WEEKDAY(DATE(Anopt,MONTH($S$31),1),(Débutsempt="Lundi")+1)+$A7*7-5</f>
        <v>43795</v>
      </c>
      <c r="U34" s="36">
        <f t="shared" ref="U34:U39" si="79">DATE(Anopt,MONTH($S$31),1)-WEEKDAY(DATE(Anopt,MONTH($S$31),1),(Débutsempt="Lundi")+1)+$A7*7-4</f>
        <v>43796</v>
      </c>
      <c r="V34" s="36">
        <f t="shared" ref="V34:V39" si="80">DATE(Anopt,MONTH($S$31),1)-WEEKDAY(DATE(Anopt,MONTH($S$31),1),(Débutsempt="Lundi")+1)+$A7*7-3</f>
        <v>43797</v>
      </c>
      <c r="W34" s="36">
        <f t="shared" ref="W34:W39" si="81">DATE(Anopt,MONTH($S$31),1)-WEEKDAY(DATE(Anopt,MONTH($S$31),1),(Débutsempt="Lundi")+1)+$A7*7-2</f>
        <v>43798</v>
      </c>
      <c r="X34" s="37">
        <f t="shared" ref="X34:X39" si="82">DATE(Anopt,MONTH($S$31),1)-WEEKDAY(DATE(Anopt,MONTH($S$31),1),(Débutsempt="Lundi")+1)+$A7*7-1</f>
        <v>43799</v>
      </c>
      <c r="Y34" s="38">
        <f t="shared" ref="Y34:Y39" si="83">DATE(Anopt,MONTH($S$31),1)-WEEKDAY(DATE(Anopt,MONTH($S$31),1),(Débutsempt="Lundi")+1)+$A7*7</f>
        <v>43800</v>
      </c>
      <c r="Z34" s="14"/>
      <c r="AA34" s="214"/>
    </row>
    <row r="35" spans="1:27" ht="20.6" customHeight="1" x14ac:dyDescent="0.3">
      <c r="A35" s="15"/>
      <c r="B35" s="8"/>
      <c r="C35" s="39">
        <f t="shared" si="63"/>
        <v>43745</v>
      </c>
      <c r="D35" s="40">
        <f t="shared" si="64"/>
        <v>43746</v>
      </c>
      <c r="E35" s="40">
        <f t="shared" si="65"/>
        <v>43747</v>
      </c>
      <c r="F35" s="40">
        <f t="shared" si="66"/>
        <v>43748</v>
      </c>
      <c r="G35" s="40">
        <f t="shared" si="67"/>
        <v>43749</v>
      </c>
      <c r="H35" s="41">
        <f t="shared" si="68"/>
        <v>43750</v>
      </c>
      <c r="I35" s="42">
        <f t="shared" si="69"/>
        <v>43751</v>
      </c>
      <c r="J35" s="15"/>
      <c r="K35" s="39">
        <f t="shared" si="70"/>
        <v>43773</v>
      </c>
      <c r="L35" s="40">
        <f t="shared" si="71"/>
        <v>43774</v>
      </c>
      <c r="M35" s="40">
        <f t="shared" si="72"/>
        <v>43775</v>
      </c>
      <c r="N35" s="40">
        <f t="shared" si="73"/>
        <v>43776</v>
      </c>
      <c r="O35" s="40">
        <f t="shared" si="74"/>
        <v>43777</v>
      </c>
      <c r="P35" s="41">
        <f t="shared" si="75"/>
        <v>43778</v>
      </c>
      <c r="Q35" s="42">
        <f t="shared" si="76"/>
        <v>43779</v>
      </c>
      <c r="R35" s="15"/>
      <c r="S35" s="39">
        <f t="shared" si="77"/>
        <v>43801</v>
      </c>
      <c r="T35" s="40">
        <f t="shared" si="78"/>
        <v>43802</v>
      </c>
      <c r="U35" s="40">
        <f t="shared" si="79"/>
        <v>43803</v>
      </c>
      <c r="V35" s="40">
        <f t="shared" si="80"/>
        <v>43804</v>
      </c>
      <c r="W35" s="40">
        <f t="shared" si="81"/>
        <v>43805</v>
      </c>
      <c r="X35" s="41">
        <f t="shared" si="82"/>
        <v>43806</v>
      </c>
      <c r="Y35" s="42">
        <f t="shared" si="83"/>
        <v>43807</v>
      </c>
      <c r="Z35" s="14"/>
      <c r="AA35" s="214"/>
    </row>
    <row r="36" spans="1:27" ht="20.6" customHeight="1" x14ac:dyDescent="0.3">
      <c r="A36" s="15"/>
      <c r="B36" s="8"/>
      <c r="C36" s="39">
        <f t="shared" si="63"/>
        <v>43752</v>
      </c>
      <c r="D36" s="40">
        <f t="shared" si="64"/>
        <v>43753</v>
      </c>
      <c r="E36" s="40">
        <f t="shared" si="65"/>
        <v>43754</v>
      </c>
      <c r="F36" s="40">
        <f t="shared" si="66"/>
        <v>43755</v>
      </c>
      <c r="G36" s="40">
        <f t="shared" si="67"/>
        <v>43756</v>
      </c>
      <c r="H36" s="41">
        <f t="shared" si="68"/>
        <v>43757</v>
      </c>
      <c r="I36" s="42">
        <f t="shared" si="69"/>
        <v>43758</v>
      </c>
      <c r="J36" s="15"/>
      <c r="K36" s="39">
        <f t="shared" si="70"/>
        <v>43780</v>
      </c>
      <c r="L36" s="40">
        <f t="shared" si="71"/>
        <v>43781</v>
      </c>
      <c r="M36" s="40">
        <f t="shared" si="72"/>
        <v>43782</v>
      </c>
      <c r="N36" s="40">
        <f t="shared" si="73"/>
        <v>43783</v>
      </c>
      <c r="O36" s="40">
        <f t="shared" si="74"/>
        <v>43784</v>
      </c>
      <c r="P36" s="41">
        <f t="shared" si="75"/>
        <v>43785</v>
      </c>
      <c r="Q36" s="42">
        <f t="shared" si="76"/>
        <v>43786</v>
      </c>
      <c r="R36" s="15"/>
      <c r="S36" s="39">
        <f t="shared" si="77"/>
        <v>43808</v>
      </c>
      <c r="T36" s="40">
        <f t="shared" si="78"/>
        <v>43809</v>
      </c>
      <c r="U36" s="40">
        <f t="shared" si="79"/>
        <v>43810</v>
      </c>
      <c r="V36" s="40">
        <f t="shared" si="80"/>
        <v>43811</v>
      </c>
      <c r="W36" s="40">
        <f t="shared" si="81"/>
        <v>43812</v>
      </c>
      <c r="X36" s="41">
        <f t="shared" si="82"/>
        <v>43813</v>
      </c>
      <c r="Y36" s="42">
        <f t="shared" si="83"/>
        <v>43814</v>
      </c>
      <c r="Z36" s="14"/>
      <c r="AA36" s="214"/>
    </row>
    <row r="37" spans="1:27" ht="20.6" customHeight="1" x14ac:dyDescent="0.3">
      <c r="A37" s="15"/>
      <c r="B37" s="8"/>
      <c r="C37" s="39">
        <f t="shared" si="63"/>
        <v>43759</v>
      </c>
      <c r="D37" s="40">
        <f t="shared" si="64"/>
        <v>43760</v>
      </c>
      <c r="E37" s="40">
        <f t="shared" si="65"/>
        <v>43761</v>
      </c>
      <c r="F37" s="40">
        <f t="shared" si="66"/>
        <v>43762</v>
      </c>
      <c r="G37" s="40">
        <f t="shared" si="67"/>
        <v>43763</v>
      </c>
      <c r="H37" s="41">
        <f t="shared" si="68"/>
        <v>43764</v>
      </c>
      <c r="I37" s="42">
        <f t="shared" si="69"/>
        <v>43765</v>
      </c>
      <c r="J37" s="15"/>
      <c r="K37" s="39">
        <f t="shared" si="70"/>
        <v>43787</v>
      </c>
      <c r="L37" s="40">
        <f t="shared" si="71"/>
        <v>43788</v>
      </c>
      <c r="M37" s="40">
        <f t="shared" si="72"/>
        <v>43789</v>
      </c>
      <c r="N37" s="40">
        <f t="shared" si="73"/>
        <v>43790</v>
      </c>
      <c r="O37" s="40">
        <f t="shared" si="74"/>
        <v>43791</v>
      </c>
      <c r="P37" s="41">
        <f t="shared" si="75"/>
        <v>43792</v>
      </c>
      <c r="Q37" s="42">
        <f t="shared" si="76"/>
        <v>43793</v>
      </c>
      <c r="R37" s="15"/>
      <c r="S37" s="39">
        <f t="shared" si="77"/>
        <v>43815</v>
      </c>
      <c r="T37" s="40">
        <f t="shared" si="78"/>
        <v>43816</v>
      </c>
      <c r="U37" s="40">
        <f t="shared" si="79"/>
        <v>43817</v>
      </c>
      <c r="V37" s="40">
        <f t="shared" si="80"/>
        <v>43818</v>
      </c>
      <c r="W37" s="40">
        <f t="shared" si="81"/>
        <v>43819</v>
      </c>
      <c r="X37" s="41">
        <f t="shared" si="82"/>
        <v>43820</v>
      </c>
      <c r="Y37" s="42">
        <f t="shared" si="83"/>
        <v>43821</v>
      </c>
      <c r="Z37" s="14"/>
      <c r="AA37" s="214"/>
    </row>
    <row r="38" spans="1:27" ht="20.6" customHeight="1" x14ac:dyDescent="0.3">
      <c r="A38" s="15"/>
      <c r="B38" s="8"/>
      <c r="C38" s="39">
        <f t="shared" si="63"/>
        <v>43766</v>
      </c>
      <c r="D38" s="40">
        <f t="shared" si="64"/>
        <v>43767</v>
      </c>
      <c r="E38" s="40">
        <f t="shared" si="65"/>
        <v>43768</v>
      </c>
      <c r="F38" s="40">
        <f t="shared" si="66"/>
        <v>43769</v>
      </c>
      <c r="G38" s="40">
        <f t="shared" si="67"/>
        <v>43770</v>
      </c>
      <c r="H38" s="41">
        <f t="shared" si="68"/>
        <v>43771</v>
      </c>
      <c r="I38" s="42">
        <f t="shared" si="69"/>
        <v>43772</v>
      </c>
      <c r="J38" s="15"/>
      <c r="K38" s="39">
        <f t="shared" si="70"/>
        <v>43794</v>
      </c>
      <c r="L38" s="40">
        <f t="shared" si="71"/>
        <v>43795</v>
      </c>
      <c r="M38" s="40">
        <f t="shared" si="72"/>
        <v>43796</v>
      </c>
      <c r="N38" s="40">
        <f t="shared" si="73"/>
        <v>43797</v>
      </c>
      <c r="O38" s="40">
        <f t="shared" si="74"/>
        <v>43798</v>
      </c>
      <c r="P38" s="41">
        <f t="shared" si="75"/>
        <v>43799</v>
      </c>
      <c r="Q38" s="42">
        <f t="shared" si="76"/>
        <v>43800</v>
      </c>
      <c r="R38" s="15"/>
      <c r="S38" s="39">
        <f t="shared" si="77"/>
        <v>43822</v>
      </c>
      <c r="T38" s="40">
        <f t="shared" si="78"/>
        <v>43823</v>
      </c>
      <c r="U38" s="40">
        <f t="shared" si="79"/>
        <v>43824</v>
      </c>
      <c r="V38" s="40">
        <f t="shared" si="80"/>
        <v>43825</v>
      </c>
      <c r="W38" s="40">
        <f t="shared" si="81"/>
        <v>43826</v>
      </c>
      <c r="X38" s="41">
        <f t="shared" si="82"/>
        <v>43827</v>
      </c>
      <c r="Y38" s="42">
        <f t="shared" si="83"/>
        <v>43828</v>
      </c>
      <c r="Z38" s="14"/>
      <c r="AA38" s="214"/>
    </row>
    <row r="39" spans="1:27" ht="20.6" customHeight="1" thickBot="1" x14ac:dyDescent="0.35">
      <c r="A39" s="15"/>
      <c r="B39" s="8"/>
      <c r="C39" s="45">
        <f t="shared" si="63"/>
        <v>43773</v>
      </c>
      <c r="D39" s="46">
        <f t="shared" si="64"/>
        <v>43774</v>
      </c>
      <c r="E39" s="46">
        <f t="shared" si="65"/>
        <v>43775</v>
      </c>
      <c r="F39" s="46">
        <f t="shared" si="66"/>
        <v>43776</v>
      </c>
      <c r="G39" s="46">
        <f t="shared" si="67"/>
        <v>43777</v>
      </c>
      <c r="H39" s="47">
        <f t="shared" si="68"/>
        <v>43778</v>
      </c>
      <c r="I39" s="48">
        <f t="shared" si="69"/>
        <v>43779</v>
      </c>
      <c r="J39" s="15"/>
      <c r="K39" s="45">
        <f t="shared" si="70"/>
        <v>43801</v>
      </c>
      <c r="L39" s="46">
        <f t="shared" si="71"/>
        <v>43802</v>
      </c>
      <c r="M39" s="46">
        <f t="shared" si="72"/>
        <v>43803</v>
      </c>
      <c r="N39" s="46">
        <f t="shared" si="73"/>
        <v>43804</v>
      </c>
      <c r="O39" s="46">
        <f t="shared" si="74"/>
        <v>43805</v>
      </c>
      <c r="P39" s="47">
        <f t="shared" si="75"/>
        <v>43806</v>
      </c>
      <c r="Q39" s="48">
        <f t="shared" si="76"/>
        <v>43807</v>
      </c>
      <c r="R39" s="15"/>
      <c r="S39" s="45">
        <f t="shared" si="77"/>
        <v>43829</v>
      </c>
      <c r="T39" s="46">
        <f t="shared" si="78"/>
        <v>43830</v>
      </c>
      <c r="U39" s="46">
        <f t="shared" si="79"/>
        <v>43831</v>
      </c>
      <c r="V39" s="46">
        <f t="shared" si="80"/>
        <v>43832</v>
      </c>
      <c r="W39" s="46">
        <f t="shared" si="81"/>
        <v>43833</v>
      </c>
      <c r="X39" s="47">
        <f t="shared" si="82"/>
        <v>43834</v>
      </c>
      <c r="Y39" s="48">
        <f t="shared" si="83"/>
        <v>43835</v>
      </c>
      <c r="Z39" s="14"/>
      <c r="AA39" s="214"/>
    </row>
    <row r="40" spans="1:27" ht="8.5" customHeight="1" thickBot="1" x14ac:dyDescent="0.35">
      <c r="A40" s="15"/>
      <c r="B40" s="58"/>
      <c r="C40" s="59"/>
      <c r="D40" s="59"/>
      <c r="E40" s="59"/>
      <c r="F40" s="59"/>
      <c r="G40" s="59"/>
      <c r="H40" s="59"/>
      <c r="I40" s="59"/>
      <c r="J40" s="60"/>
      <c r="K40" s="59"/>
      <c r="L40" s="59"/>
      <c r="M40" s="59"/>
      <c r="N40" s="59"/>
      <c r="O40" s="59"/>
      <c r="P40" s="59"/>
      <c r="Q40" s="59"/>
      <c r="R40" s="60"/>
      <c r="S40" s="59"/>
      <c r="T40" s="59"/>
      <c r="U40" s="59"/>
      <c r="V40" s="59"/>
      <c r="W40" s="59"/>
      <c r="X40" s="59"/>
      <c r="Y40" s="59"/>
      <c r="Z40" s="61"/>
      <c r="AA40" s="214"/>
    </row>
    <row r="41" spans="1:27" ht="7.3" customHeight="1" x14ac:dyDescent="0.3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</row>
  </sheetData>
  <sheetProtection algorithmName="SHA-512" hashValue="l4/YReNS8BBTW1AGO7ZR+566cTStv8Gl8sG+AjooXBKK0duaBoXzi01VHZIK5A1xbEsih5ZH9unveVZciHK0+A==" saltValue="+QF2j3guzqZffHIZ6a8JBA==" spinCount="100000" sheet="1" objects="1" scenarios="1"/>
  <mergeCells count="30">
    <mergeCell ref="A41:AA41"/>
    <mergeCell ref="C31:I31"/>
    <mergeCell ref="K31:Q31"/>
    <mergeCell ref="S31:Y31"/>
    <mergeCell ref="C32:I32"/>
    <mergeCell ref="K32:Q32"/>
    <mergeCell ref="S32:Y32"/>
    <mergeCell ref="S14:Y14"/>
    <mergeCell ref="C22:I22"/>
    <mergeCell ref="K22:Q22"/>
    <mergeCell ref="S22:Y22"/>
    <mergeCell ref="C23:I23"/>
    <mergeCell ref="K23:Q23"/>
    <mergeCell ref="S23:Y23"/>
    <mergeCell ref="A1:AA1"/>
    <mergeCell ref="AA2:AA40"/>
    <mergeCell ref="D3:H3"/>
    <mergeCell ref="K3:Q3"/>
    <mergeCell ref="T3:X3"/>
    <mergeCell ref="C4:I4"/>
    <mergeCell ref="K4:Q4"/>
    <mergeCell ref="S4:Y4"/>
    <mergeCell ref="C5:I5"/>
    <mergeCell ref="K5:Q5"/>
    <mergeCell ref="S5:Y5"/>
    <mergeCell ref="C13:I13"/>
    <mergeCell ref="K13:Q13"/>
    <mergeCell ref="S13:Y13"/>
    <mergeCell ref="C14:I14"/>
    <mergeCell ref="K14:Q14"/>
  </mergeCells>
  <conditionalFormatting sqref="C7:I7">
    <cfRule type="expression" dxfId="112" priority="24">
      <formula>DAY(C7)&gt;7</formula>
    </cfRule>
  </conditionalFormatting>
  <conditionalFormatting sqref="K7:Q7">
    <cfRule type="expression" dxfId="111" priority="23">
      <formula>DAY(K7)&gt;7</formula>
    </cfRule>
  </conditionalFormatting>
  <conditionalFormatting sqref="S7:Y7">
    <cfRule type="expression" dxfId="110" priority="22">
      <formula>DAY(S7)&gt;7</formula>
    </cfRule>
  </conditionalFormatting>
  <conditionalFormatting sqref="C11:I12">
    <cfRule type="expression" dxfId="109" priority="12">
      <formula>DAY(C11)&lt;15</formula>
    </cfRule>
  </conditionalFormatting>
  <conditionalFormatting sqref="K11:Q12">
    <cfRule type="expression" dxfId="108" priority="11">
      <formula>DAY(K11)&lt;15</formula>
    </cfRule>
  </conditionalFormatting>
  <conditionalFormatting sqref="S11:Y12">
    <cfRule type="expression" dxfId="107" priority="10">
      <formula>DAY(S11)&lt;15</formula>
    </cfRule>
  </conditionalFormatting>
  <conditionalFormatting sqref="C20:I21">
    <cfRule type="expression" dxfId="106" priority="9">
      <formula>DAY(C20)&lt;15</formula>
    </cfRule>
  </conditionalFormatting>
  <conditionalFormatting sqref="K20:Q21">
    <cfRule type="expression" dxfId="105" priority="8">
      <formula>DAY(K20)&lt;15</formula>
    </cfRule>
  </conditionalFormatting>
  <conditionalFormatting sqref="S20:Y21">
    <cfRule type="expression" dxfId="104" priority="7">
      <formula>DAY(S20)&lt;15</formula>
    </cfRule>
  </conditionalFormatting>
  <conditionalFormatting sqref="C29:I30">
    <cfRule type="expression" dxfId="103" priority="6">
      <formula>DAY(C29)&lt;15</formula>
    </cfRule>
  </conditionalFormatting>
  <conditionalFormatting sqref="K29:Q30">
    <cfRule type="expression" dxfId="102" priority="5">
      <formula>DAY(K29)&lt;15</formula>
    </cfRule>
  </conditionalFormatting>
  <conditionalFormatting sqref="S29:Y30">
    <cfRule type="expression" dxfId="101" priority="4">
      <formula>DAY(S29)&lt;15</formula>
    </cfRule>
  </conditionalFormatting>
  <conditionalFormatting sqref="C38:I39">
    <cfRule type="expression" dxfId="100" priority="3">
      <formula>DAY(C38)&lt;15</formula>
    </cfRule>
  </conditionalFormatting>
  <conditionalFormatting sqref="K38:Q39">
    <cfRule type="expression" dxfId="99" priority="2">
      <formula>DAY(K38)&lt;15</formula>
    </cfRule>
  </conditionalFormatting>
  <conditionalFormatting sqref="S38:Y39">
    <cfRule type="expression" dxfId="98" priority="1">
      <formula>DAY(S38)&lt;15</formula>
    </cfRule>
  </conditionalFormatting>
  <conditionalFormatting sqref="C16:I16">
    <cfRule type="expression" dxfId="97" priority="21">
      <formula>DAY(C16)&gt;7</formula>
    </cfRule>
  </conditionalFormatting>
  <conditionalFormatting sqref="K16:Q16">
    <cfRule type="expression" dxfId="96" priority="20">
      <formula>DAY(K16)&gt;7</formula>
    </cfRule>
  </conditionalFormatting>
  <conditionalFormatting sqref="S16:Y16">
    <cfRule type="expression" dxfId="95" priority="19">
      <formula>DAY(S16)&gt;7</formula>
    </cfRule>
  </conditionalFormatting>
  <conditionalFormatting sqref="C25:I25">
    <cfRule type="expression" dxfId="94" priority="18">
      <formula>DAY(C25)&gt;7</formula>
    </cfRule>
  </conditionalFormatting>
  <conditionalFormatting sqref="K25:Q25">
    <cfRule type="expression" dxfId="93" priority="17">
      <formula>DAY(K25)&gt;7</formula>
    </cfRule>
  </conditionalFormatting>
  <conditionalFormatting sqref="S25:Y25">
    <cfRule type="expression" dxfId="92" priority="16">
      <formula>DAY(S25)&gt;7</formula>
    </cfRule>
  </conditionalFormatting>
  <conditionalFormatting sqref="C34:I34">
    <cfRule type="expression" dxfId="91" priority="15">
      <formula>DAY(C34)&gt;7</formula>
    </cfRule>
  </conditionalFormatting>
  <conditionalFormatting sqref="K34:Q34">
    <cfRule type="expression" dxfId="90" priority="14">
      <formula>DAY(K34)&gt;7</formula>
    </cfRule>
  </conditionalFormatting>
  <conditionalFormatting sqref="S34:Y34">
    <cfRule type="expression" dxfId="89" priority="13">
      <formula>DAY(S34)&gt;7</formula>
    </cfRule>
  </conditionalFormatting>
  <conditionalFormatting sqref="C7:I12 K7:Q12 S7:Y12 C16:I21 K16:Q21 S16:Y21 C25:I30 K25:Q30 S25:Y30 C34:I39 K34:Q39 S34:Y39">
    <cfRule type="expression" dxfId="88" priority="25">
      <formula>C7=TODAY()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0DE64E35-887B-401E-8084-C248DCBE4AD5}">
            <xm:f>VLOOKUP(C7,'Jours fériés'!$U$7:$U$19,1,FALSE)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7C56-A724-4EA2-B70A-F540B0B22E0D}">
  <dimension ref="A1:AC41"/>
  <sheetViews>
    <sheetView workbookViewId="0">
      <selection activeCell="C3" sqref="C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9" ht="7.3" customHeight="1" thickBot="1" x14ac:dyDescent="0.35">
      <c r="A1" s="221"/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</row>
    <row r="2" spans="1:29" ht="8.5" customHeight="1" thickBot="1" x14ac:dyDescent="0.35">
      <c r="A2" s="2"/>
      <c r="B2" s="3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  <c r="Z2" s="6"/>
      <c r="AA2" s="214"/>
    </row>
    <row r="3" spans="1:29" ht="21.8" customHeight="1" thickTop="1" thickBot="1" x14ac:dyDescent="0.35">
      <c r="A3" s="7"/>
      <c r="B3" s="8"/>
      <c r="C3" s="9"/>
      <c r="D3" s="213" t="str">
        <f>IF($I$3,"Année bissextile","")</f>
        <v/>
      </c>
      <c r="E3" s="213"/>
      <c r="F3" s="213"/>
      <c r="G3" s="213"/>
      <c r="H3" s="213"/>
      <c r="I3" s="149" t="b">
        <f>DAY(DATE(YEAR(K7),3,0))=29</f>
        <v>0</v>
      </c>
      <c r="J3" s="11"/>
      <c r="K3" s="222">
        <v>2019</v>
      </c>
      <c r="L3" s="223"/>
      <c r="M3" s="223"/>
      <c r="N3" s="223"/>
      <c r="O3" s="223"/>
      <c r="P3" s="223"/>
      <c r="Q3" s="223"/>
      <c r="R3" s="12"/>
      <c r="S3" s="13"/>
      <c r="T3" s="224"/>
      <c r="U3" s="224"/>
      <c r="V3" s="224"/>
      <c r="W3" s="224"/>
      <c r="X3" s="224"/>
      <c r="Y3" s="10"/>
      <c r="Z3" s="14"/>
      <c r="AA3" s="214"/>
    </row>
    <row r="4" spans="1:29" ht="12.1" customHeight="1" thickTop="1" thickBot="1" x14ac:dyDescent="0.35">
      <c r="A4" s="15"/>
      <c r="B4" s="8"/>
      <c r="C4" s="215">
        <f>DATE(Anovaclu,1,1)</f>
        <v>43466</v>
      </c>
      <c r="D4" s="215"/>
      <c r="E4" s="215"/>
      <c r="F4" s="215"/>
      <c r="G4" s="215"/>
      <c r="H4" s="215"/>
      <c r="I4" s="215"/>
      <c r="J4" s="15"/>
      <c r="K4" s="225">
        <f>DATE(Anovaclu,2,1)</f>
        <v>43497</v>
      </c>
      <c r="L4" s="225"/>
      <c r="M4" s="225"/>
      <c r="N4" s="225"/>
      <c r="O4" s="225"/>
      <c r="P4" s="225"/>
      <c r="Q4" s="225"/>
      <c r="R4" s="16"/>
      <c r="S4" s="215">
        <f>DATE(Anovaclu,3,1)</f>
        <v>43525</v>
      </c>
      <c r="T4" s="215"/>
      <c r="U4" s="215"/>
      <c r="V4" s="215"/>
      <c r="W4" s="215"/>
      <c r="X4" s="215"/>
      <c r="Y4" s="215"/>
      <c r="Z4" s="7"/>
      <c r="AA4" s="214"/>
    </row>
    <row r="5" spans="1:29" s="20" customFormat="1" ht="20.6" customHeight="1" thickBot="1" x14ac:dyDescent="0.35">
      <c r="A5" s="10"/>
      <c r="B5" s="17"/>
      <c r="C5" s="216" t="str">
        <f>CHOOSE(MONTH(C4),"JANVIER")</f>
        <v>JANVIER</v>
      </c>
      <c r="D5" s="217"/>
      <c r="E5" s="217"/>
      <c r="F5" s="217"/>
      <c r="G5" s="217"/>
      <c r="H5" s="217"/>
      <c r="I5" s="218"/>
      <c r="J5" s="18" t="s">
        <v>0</v>
      </c>
      <c r="K5" s="216" t="str">
        <f>CHOOSE(MONTH(C4),"FÉVRIER")</f>
        <v>FÉVRIER</v>
      </c>
      <c r="L5" s="217"/>
      <c r="M5" s="217"/>
      <c r="N5" s="217"/>
      <c r="O5" s="217"/>
      <c r="P5" s="217"/>
      <c r="Q5" s="218"/>
      <c r="R5" s="10"/>
      <c r="S5" s="216" t="str">
        <f>CHOOSE(MONTH(C4),"MARS")</f>
        <v>MARS</v>
      </c>
      <c r="T5" s="217"/>
      <c r="U5" s="217"/>
      <c r="V5" s="217"/>
      <c r="W5" s="217"/>
      <c r="X5" s="217"/>
      <c r="Y5" s="218"/>
      <c r="Z5" s="19"/>
      <c r="AA5" s="214"/>
    </row>
    <row r="6" spans="1:29" s="20" customFormat="1" ht="16.350000000000001" customHeight="1" thickBot="1" x14ac:dyDescent="0.35">
      <c r="A6" s="10"/>
      <c r="B6" s="17"/>
      <c r="C6" s="74" t="str">
        <f t="shared" ref="C6:I6" si="0">CHOOSE(COLUMN(A$1)+(Débutsemvaclu="Lundi"),"Di","Lu","Ma","Me","Je","Ve","Sa","Di")</f>
        <v>Lu</v>
      </c>
      <c r="D6" s="74" t="str">
        <f t="shared" si="0"/>
        <v>Ma</v>
      </c>
      <c r="E6" s="74" t="str">
        <f t="shared" si="0"/>
        <v>Me</v>
      </c>
      <c r="F6" s="74" t="str">
        <f t="shared" si="0"/>
        <v>Je</v>
      </c>
      <c r="G6" s="74" t="str">
        <f t="shared" si="0"/>
        <v>Ve</v>
      </c>
      <c r="H6" s="80" t="str">
        <f t="shared" si="0"/>
        <v>Sa</v>
      </c>
      <c r="I6" s="80" t="str">
        <f t="shared" si="0"/>
        <v>Di</v>
      </c>
      <c r="J6" s="27"/>
      <c r="K6" s="74" t="str">
        <f t="shared" ref="K6:Q6" si="1">CHOOSE(COLUMN(A$1)+(Débutsemvaclu="Lundi"),"Di","Lu","Ma","Me","Je","Ve","Sa","Di")</f>
        <v>Lu</v>
      </c>
      <c r="L6" s="74" t="str">
        <f t="shared" si="1"/>
        <v>Ma</v>
      </c>
      <c r="M6" s="74" t="str">
        <f t="shared" si="1"/>
        <v>Me</v>
      </c>
      <c r="N6" s="74" t="str">
        <f t="shared" si="1"/>
        <v>Je</v>
      </c>
      <c r="O6" s="74" t="str">
        <f t="shared" si="1"/>
        <v>Ve</v>
      </c>
      <c r="P6" s="80" t="str">
        <f t="shared" si="1"/>
        <v>Sa</v>
      </c>
      <c r="Q6" s="119" t="str">
        <f t="shared" si="1"/>
        <v>Di</v>
      </c>
      <c r="R6" s="30"/>
      <c r="S6" s="74" t="str">
        <f t="shared" ref="S6:Y6" si="2">CHOOSE(COLUMN(A$1)+(Débutsemvaclu="Lundi"),"Di","Lu","Ma","Me","Je","Ve","Sa","Di")</f>
        <v>Lu</v>
      </c>
      <c r="T6" s="74" t="str">
        <f t="shared" si="2"/>
        <v>Ma</v>
      </c>
      <c r="U6" s="74" t="str">
        <f t="shared" si="2"/>
        <v>Me</v>
      </c>
      <c r="V6" s="74" t="str">
        <f t="shared" si="2"/>
        <v>Je</v>
      </c>
      <c r="W6" s="74" t="str">
        <f t="shared" si="2"/>
        <v>Ve</v>
      </c>
      <c r="X6" s="80" t="str">
        <f t="shared" si="2"/>
        <v>Sa</v>
      </c>
      <c r="Y6" s="80" t="str">
        <f t="shared" si="2"/>
        <v>Di</v>
      </c>
      <c r="Z6" s="78"/>
      <c r="AA6" s="214"/>
    </row>
    <row r="7" spans="1:29" ht="20.6" customHeight="1" x14ac:dyDescent="0.3">
      <c r="A7" s="15">
        <v>1</v>
      </c>
      <c r="B7" s="8"/>
      <c r="C7" s="35">
        <f t="shared" ref="C7:C12" si="3">DATE(Anovaclu,MONTH($C$4),1)-WEEKDAY(DATE(Anovaclu,MONTH($C$4),1),(Débutsemvaclu="Lundi")+1)+$A7*7-6</f>
        <v>43465</v>
      </c>
      <c r="D7" s="36">
        <f t="shared" ref="D7:D12" si="4">DATE(Anovaclu,MONTH($C$4),1)-WEEKDAY(DATE(Anovaclu,MONTH($C$4),1),(Débutsemvaclu="Lundi")+1)+$A7*7-5</f>
        <v>43466</v>
      </c>
      <c r="E7" s="36">
        <f t="shared" ref="E7:E12" si="5">DATE(Anovaclu,MONTH($C$4),1)-WEEKDAY(DATE(Anovaclu,MONTH($C$4),1),(Débutsemvaclu="Lundi")+1)+$A7*7-4</f>
        <v>43467</v>
      </c>
      <c r="F7" s="36">
        <f t="shared" ref="F7:F12" si="6">DATE(Anovaclu,MONTH($C$4),1)-WEEKDAY(DATE(Anovaclu,MONTH($C$4),1),(Débutsemvaclu="Lundi")+1)+$A7*7-3</f>
        <v>43468</v>
      </c>
      <c r="G7" s="36">
        <f t="shared" ref="G7:G12" si="7">DATE(Anovaclu,MONTH($C$4),1)-WEEKDAY(DATE(Anovaclu,MONTH($C$4),1),(Débutsemvaclu="Lundi")+1)+$A7*7-2</f>
        <v>43469</v>
      </c>
      <c r="H7" s="37">
        <f t="shared" ref="H7:H12" si="8">DATE(Anovaclu,MONTH($C$4),1)-WEEKDAY(DATE(Anovaclu,MONTH($C$4),1),(Débutsemvaclu="Lundi")+1)+$A7*7-1</f>
        <v>43470</v>
      </c>
      <c r="I7" s="38">
        <f t="shared" ref="I7:I12" si="9">DATE(Anovaclu,MONTH($C$4),1)-WEEKDAY(DATE(Anovaclu,MONTH($C$4),1),(Débutsemvaclu="Lundi")+1)+$A7*7</f>
        <v>43471</v>
      </c>
      <c r="J7" s="15"/>
      <c r="K7" s="35">
        <f t="shared" ref="K7:K12" si="10">DATE(Anovaclu,MONTH($K$4),1)-WEEKDAY(DATE(Anovaclu,MONTH($K$4),1),(Débutsemvaclu="Lundi")+1)+$A7*7-6</f>
        <v>43493</v>
      </c>
      <c r="L7" s="36">
        <f t="shared" ref="L7:L12" si="11">DATE(Anovaclu,MONTH($K$4),1)-WEEKDAY(DATE(Anovaclu,MONTH($K$4),1),(Débutsemvaclu="Lundi")+1)+$A7*7-5</f>
        <v>43494</v>
      </c>
      <c r="M7" s="36">
        <f t="shared" ref="M7:M12" si="12">DATE(Anovaclu,MONTH($K$4),1)-WEEKDAY(DATE(Anovaclu,MONTH($K$4),1),(Débutsemvaclu="Lundi")+1)+$A7*7-4</f>
        <v>43495</v>
      </c>
      <c r="N7" s="36">
        <f t="shared" ref="N7:N12" si="13">DATE(Anovaclu,MONTH($K$4),1)-WEEKDAY(DATE(Anovaclu,MONTH($K$4),1),(Débutsemvaclu="Lundi")+1)+$A7*7-3</f>
        <v>43496</v>
      </c>
      <c r="O7" s="36">
        <f t="shared" ref="O7:O12" si="14">DATE(Anovaclu,MONTH($K$4),1)-WEEKDAY(DATE(Anovaclu,MONTH($K$4),1),(Débutsemvaclu="Lundi")+1)+$A7*7-2</f>
        <v>43497</v>
      </c>
      <c r="P7" s="37">
        <f t="shared" ref="P7:P12" si="15">DATE(Anovaclu,MONTH($K$4),1)-WEEKDAY(DATE(Anovaclu,MONTH($K$4),1),(Débutsemvaclu="Lundi")+1)+$A7*7-1</f>
        <v>43498</v>
      </c>
      <c r="Q7" s="38">
        <f t="shared" ref="Q7:Q12" si="16">DATE(Anovaclu,MONTH($K$4),1)-WEEKDAY(DATE(Anovaclu,MONTH($K$4),1),(Débutsemvaclu="Lundi")+1)+$A7*7</f>
        <v>43499</v>
      </c>
      <c r="R7" s="15"/>
      <c r="S7" s="35">
        <f t="shared" ref="S7:S12" si="17">DATE(Anovaclu,MONTH($S$4),1)-WEEKDAY(DATE(Anovaclu,MONTH($S$4),1),(Débutsemvaclu="Lundi")+1)+$A7*7-6</f>
        <v>43521</v>
      </c>
      <c r="T7" s="36">
        <f t="shared" ref="T7:T12" si="18">DATE(Anovaclu,MONTH($S$4),1)-WEEKDAY(DATE(Anovaclu,MONTH($S$4),1),(Débutsemvaclu="Lundi")+1)+$A7*7-5</f>
        <v>43522</v>
      </c>
      <c r="U7" s="36">
        <f t="shared" ref="U7:U12" si="19">DATE(Anovaclu,MONTH($S$4),1)-WEEKDAY(DATE(Anovaclu,MONTH($S$4),1),(Débutsemvaclu="Lundi")+1)+$A7*7-4</f>
        <v>43523</v>
      </c>
      <c r="V7" s="36">
        <f t="shared" ref="V7:V12" si="20">DATE(Anovaclu,MONTH($S$4),1)-WEEKDAY(DATE(Anovaclu,MONTH($S$4),1),(Débutsemvaclu="Lundi")+1)+$A7*7-3</f>
        <v>43524</v>
      </c>
      <c r="W7" s="36">
        <f t="shared" ref="W7:W12" si="21">DATE(Anovaclu,MONTH($S$4),1)-WEEKDAY(DATE(Anovaclu,MONTH($S$4),1),(Débutsemvaclu="Lundi")+1)+$A7*7-2</f>
        <v>43525</v>
      </c>
      <c r="X7" s="37">
        <f t="shared" ref="X7:X12" si="22">DATE(Anovaclu,MONTH($S$4),1)-WEEKDAY(DATE(Anovaclu,MONTH($S$4),1),(Débutsemvaclu="Lundi")+1)+$A7*7-1</f>
        <v>43526</v>
      </c>
      <c r="Y7" s="38">
        <f t="shared" ref="Y7:Y12" si="23">DATE(Anovaclu,MONTH($S$4),1)-WEEKDAY(DATE(Anovaclu,MONTH($S$4),1),(Débutsemvaclu="Lundi")+1)+$A7*7</f>
        <v>43527</v>
      </c>
      <c r="Z7" s="14"/>
      <c r="AA7" s="214"/>
    </row>
    <row r="8" spans="1:29" ht="20.6" customHeight="1" x14ac:dyDescent="0.3">
      <c r="A8" s="15">
        <v>2</v>
      </c>
      <c r="B8" s="8"/>
      <c r="C8" s="39">
        <f t="shared" si="3"/>
        <v>43472</v>
      </c>
      <c r="D8" s="40">
        <f t="shared" si="4"/>
        <v>43473</v>
      </c>
      <c r="E8" s="40">
        <f t="shared" si="5"/>
        <v>43474</v>
      </c>
      <c r="F8" s="40">
        <f t="shared" si="6"/>
        <v>43475</v>
      </c>
      <c r="G8" s="40">
        <f t="shared" si="7"/>
        <v>43476</v>
      </c>
      <c r="H8" s="41">
        <f t="shared" si="8"/>
        <v>43477</v>
      </c>
      <c r="I8" s="42">
        <f t="shared" si="9"/>
        <v>43478</v>
      </c>
      <c r="J8" s="15"/>
      <c r="K8" s="39">
        <f t="shared" si="10"/>
        <v>43500</v>
      </c>
      <c r="L8" s="40">
        <f t="shared" si="11"/>
        <v>43501</v>
      </c>
      <c r="M8" s="40">
        <f t="shared" si="12"/>
        <v>43502</v>
      </c>
      <c r="N8" s="40">
        <f t="shared" si="13"/>
        <v>43503</v>
      </c>
      <c r="O8" s="40">
        <f t="shared" si="14"/>
        <v>43504</v>
      </c>
      <c r="P8" s="41">
        <f t="shared" si="15"/>
        <v>43505</v>
      </c>
      <c r="Q8" s="42">
        <f t="shared" si="16"/>
        <v>43506</v>
      </c>
      <c r="R8" s="15"/>
      <c r="S8" s="39">
        <f t="shared" si="17"/>
        <v>43528</v>
      </c>
      <c r="T8" s="40">
        <f t="shared" si="18"/>
        <v>43529</v>
      </c>
      <c r="U8" s="40">
        <f t="shared" si="19"/>
        <v>43530</v>
      </c>
      <c r="V8" s="40">
        <f t="shared" si="20"/>
        <v>43531</v>
      </c>
      <c r="W8" s="40">
        <f t="shared" si="21"/>
        <v>43532</v>
      </c>
      <c r="X8" s="41">
        <f t="shared" si="22"/>
        <v>43533</v>
      </c>
      <c r="Y8" s="42">
        <f t="shared" si="23"/>
        <v>43534</v>
      </c>
      <c r="Z8" s="14"/>
      <c r="AA8" s="214"/>
      <c r="AC8" s="73"/>
    </row>
    <row r="9" spans="1:29" ht="20.6" customHeight="1" x14ac:dyDescent="0.3">
      <c r="A9" s="15">
        <v>3</v>
      </c>
      <c r="B9" s="8"/>
      <c r="C9" s="39">
        <f t="shared" si="3"/>
        <v>43479</v>
      </c>
      <c r="D9" s="40">
        <f t="shared" si="4"/>
        <v>43480</v>
      </c>
      <c r="E9" s="40">
        <f t="shared" si="5"/>
        <v>43481</v>
      </c>
      <c r="F9" s="40">
        <f t="shared" si="6"/>
        <v>43482</v>
      </c>
      <c r="G9" s="40">
        <f t="shared" si="7"/>
        <v>43483</v>
      </c>
      <c r="H9" s="41">
        <f t="shared" si="8"/>
        <v>43484</v>
      </c>
      <c r="I9" s="42">
        <f t="shared" si="9"/>
        <v>43485</v>
      </c>
      <c r="J9" s="15"/>
      <c r="K9" s="39">
        <f t="shared" si="10"/>
        <v>43507</v>
      </c>
      <c r="L9" s="40">
        <f t="shared" si="11"/>
        <v>43508</v>
      </c>
      <c r="M9" s="40">
        <f t="shared" si="12"/>
        <v>43509</v>
      </c>
      <c r="N9" s="40">
        <f t="shared" si="13"/>
        <v>43510</v>
      </c>
      <c r="O9" s="40">
        <f t="shared" si="14"/>
        <v>43511</v>
      </c>
      <c r="P9" s="41">
        <f t="shared" si="15"/>
        <v>43512</v>
      </c>
      <c r="Q9" s="42">
        <f t="shared" si="16"/>
        <v>43513</v>
      </c>
      <c r="R9" s="15"/>
      <c r="S9" s="39">
        <f t="shared" si="17"/>
        <v>43535</v>
      </c>
      <c r="T9" s="40">
        <f t="shared" si="18"/>
        <v>43536</v>
      </c>
      <c r="U9" s="40">
        <f t="shared" si="19"/>
        <v>43537</v>
      </c>
      <c r="V9" s="40">
        <f t="shared" si="20"/>
        <v>43538</v>
      </c>
      <c r="W9" s="40">
        <f t="shared" si="21"/>
        <v>43539</v>
      </c>
      <c r="X9" s="41">
        <f t="shared" si="22"/>
        <v>43540</v>
      </c>
      <c r="Y9" s="42">
        <f t="shared" si="23"/>
        <v>43541</v>
      </c>
      <c r="Z9" s="43"/>
      <c r="AA9" s="214"/>
      <c r="AC9" s="73"/>
    </row>
    <row r="10" spans="1:29" ht="20.6" customHeight="1" x14ac:dyDescent="0.3">
      <c r="A10" s="15">
        <v>4</v>
      </c>
      <c r="B10" s="8"/>
      <c r="C10" s="39">
        <f t="shared" si="3"/>
        <v>43486</v>
      </c>
      <c r="D10" s="40">
        <f t="shared" si="4"/>
        <v>43487</v>
      </c>
      <c r="E10" s="40">
        <f t="shared" si="5"/>
        <v>43488</v>
      </c>
      <c r="F10" s="40">
        <f t="shared" si="6"/>
        <v>43489</v>
      </c>
      <c r="G10" s="40">
        <f t="shared" si="7"/>
        <v>43490</v>
      </c>
      <c r="H10" s="41">
        <f t="shared" si="8"/>
        <v>43491</v>
      </c>
      <c r="I10" s="42">
        <f t="shared" si="9"/>
        <v>43492</v>
      </c>
      <c r="J10" s="15"/>
      <c r="K10" s="39">
        <f t="shared" si="10"/>
        <v>43514</v>
      </c>
      <c r="L10" s="40">
        <f t="shared" si="11"/>
        <v>43515</v>
      </c>
      <c r="M10" s="40">
        <f t="shared" si="12"/>
        <v>43516</v>
      </c>
      <c r="N10" s="40">
        <f t="shared" si="13"/>
        <v>43517</v>
      </c>
      <c r="O10" s="40">
        <f t="shared" si="14"/>
        <v>43518</v>
      </c>
      <c r="P10" s="41">
        <f t="shared" si="15"/>
        <v>43519</v>
      </c>
      <c r="Q10" s="42">
        <f t="shared" si="16"/>
        <v>43520</v>
      </c>
      <c r="R10" s="15"/>
      <c r="S10" s="39">
        <f t="shared" si="17"/>
        <v>43542</v>
      </c>
      <c r="T10" s="40">
        <f t="shared" si="18"/>
        <v>43543</v>
      </c>
      <c r="U10" s="40">
        <f t="shared" si="19"/>
        <v>43544</v>
      </c>
      <c r="V10" s="40">
        <f t="shared" si="20"/>
        <v>43545</v>
      </c>
      <c r="W10" s="40">
        <f t="shared" si="21"/>
        <v>43546</v>
      </c>
      <c r="X10" s="41">
        <f t="shared" si="22"/>
        <v>43547</v>
      </c>
      <c r="Y10" s="42">
        <f t="shared" si="23"/>
        <v>43548</v>
      </c>
      <c r="Z10" s="43"/>
      <c r="AA10" s="214"/>
    </row>
    <row r="11" spans="1:29" ht="20.6" customHeight="1" x14ac:dyDescent="0.3">
      <c r="A11" s="15">
        <v>5</v>
      </c>
      <c r="B11" s="8"/>
      <c r="C11" s="39">
        <f t="shared" si="3"/>
        <v>43493</v>
      </c>
      <c r="D11" s="40">
        <f t="shared" si="4"/>
        <v>43494</v>
      </c>
      <c r="E11" s="40">
        <f t="shared" si="5"/>
        <v>43495</v>
      </c>
      <c r="F11" s="40">
        <f t="shared" si="6"/>
        <v>43496</v>
      </c>
      <c r="G11" s="40">
        <f t="shared" si="7"/>
        <v>43497</v>
      </c>
      <c r="H11" s="41">
        <f t="shared" si="8"/>
        <v>43498</v>
      </c>
      <c r="I11" s="42">
        <f t="shared" si="9"/>
        <v>43499</v>
      </c>
      <c r="J11" s="15"/>
      <c r="K11" s="39">
        <f t="shared" si="10"/>
        <v>43521</v>
      </c>
      <c r="L11" s="40">
        <f t="shared" si="11"/>
        <v>43522</v>
      </c>
      <c r="M11" s="40">
        <f t="shared" si="12"/>
        <v>43523</v>
      </c>
      <c r="N11" s="40">
        <f t="shared" si="13"/>
        <v>43524</v>
      </c>
      <c r="O11" s="40">
        <f t="shared" si="14"/>
        <v>43525</v>
      </c>
      <c r="P11" s="41">
        <f t="shared" si="15"/>
        <v>43526</v>
      </c>
      <c r="Q11" s="42">
        <f t="shared" si="16"/>
        <v>43527</v>
      </c>
      <c r="R11" s="15"/>
      <c r="S11" s="39">
        <f t="shared" si="17"/>
        <v>43549</v>
      </c>
      <c r="T11" s="40">
        <f t="shared" si="18"/>
        <v>43550</v>
      </c>
      <c r="U11" s="40">
        <f t="shared" si="19"/>
        <v>43551</v>
      </c>
      <c r="V11" s="40">
        <f t="shared" si="20"/>
        <v>43552</v>
      </c>
      <c r="W11" s="40">
        <f t="shared" si="21"/>
        <v>43553</v>
      </c>
      <c r="X11" s="41">
        <f t="shared" si="22"/>
        <v>43554</v>
      </c>
      <c r="Y11" s="42">
        <f t="shared" si="23"/>
        <v>43555</v>
      </c>
      <c r="Z11" s="43"/>
      <c r="AA11" s="214"/>
    </row>
    <row r="12" spans="1:29" ht="20.6" customHeight="1" thickBot="1" x14ac:dyDescent="0.35">
      <c r="A12" s="15">
        <v>6</v>
      </c>
      <c r="B12" s="8"/>
      <c r="C12" s="45">
        <f t="shared" si="3"/>
        <v>43500</v>
      </c>
      <c r="D12" s="46">
        <f t="shared" si="4"/>
        <v>43501</v>
      </c>
      <c r="E12" s="46">
        <f t="shared" si="5"/>
        <v>43502</v>
      </c>
      <c r="F12" s="46">
        <f t="shared" si="6"/>
        <v>43503</v>
      </c>
      <c r="G12" s="46">
        <f t="shared" si="7"/>
        <v>43504</v>
      </c>
      <c r="H12" s="47">
        <f t="shared" si="8"/>
        <v>43505</v>
      </c>
      <c r="I12" s="48">
        <f t="shared" si="9"/>
        <v>43506</v>
      </c>
      <c r="J12" s="15"/>
      <c r="K12" s="45">
        <f t="shared" si="10"/>
        <v>43528</v>
      </c>
      <c r="L12" s="46">
        <f t="shared" si="11"/>
        <v>43529</v>
      </c>
      <c r="M12" s="46">
        <f t="shared" si="12"/>
        <v>43530</v>
      </c>
      <c r="N12" s="46">
        <f t="shared" si="13"/>
        <v>43531</v>
      </c>
      <c r="O12" s="46">
        <f t="shared" si="14"/>
        <v>43532</v>
      </c>
      <c r="P12" s="47">
        <f t="shared" si="15"/>
        <v>43533</v>
      </c>
      <c r="Q12" s="48">
        <f t="shared" si="16"/>
        <v>43534</v>
      </c>
      <c r="R12" s="15"/>
      <c r="S12" s="45">
        <f t="shared" si="17"/>
        <v>43556</v>
      </c>
      <c r="T12" s="46">
        <f t="shared" si="18"/>
        <v>43557</v>
      </c>
      <c r="U12" s="46">
        <f t="shared" si="19"/>
        <v>43558</v>
      </c>
      <c r="V12" s="46">
        <f t="shared" si="20"/>
        <v>43559</v>
      </c>
      <c r="W12" s="46">
        <f t="shared" si="21"/>
        <v>43560</v>
      </c>
      <c r="X12" s="47">
        <f t="shared" si="22"/>
        <v>43561</v>
      </c>
      <c r="Y12" s="48">
        <f t="shared" si="23"/>
        <v>43562</v>
      </c>
      <c r="Z12" s="43"/>
      <c r="AA12" s="214"/>
    </row>
    <row r="13" spans="1:29" ht="13.35" customHeight="1" thickBot="1" x14ac:dyDescent="0.35">
      <c r="A13" s="15"/>
      <c r="B13" s="8"/>
      <c r="C13" s="215">
        <f>DATE(Anovaclu,4,1)</f>
        <v>43556</v>
      </c>
      <c r="D13" s="215"/>
      <c r="E13" s="215"/>
      <c r="F13" s="215"/>
      <c r="G13" s="215"/>
      <c r="H13" s="215"/>
      <c r="I13" s="215"/>
      <c r="J13" s="15"/>
      <c r="K13" s="215">
        <f>DATE(Anovaclu,5,1)</f>
        <v>43586</v>
      </c>
      <c r="L13" s="215"/>
      <c r="M13" s="215"/>
      <c r="N13" s="215"/>
      <c r="O13" s="215"/>
      <c r="P13" s="215"/>
      <c r="Q13" s="215"/>
      <c r="R13" s="15"/>
      <c r="S13" s="215">
        <f>DATE(Anovaclu,6,1)</f>
        <v>43617</v>
      </c>
      <c r="T13" s="215"/>
      <c r="U13" s="215"/>
      <c r="V13" s="215"/>
      <c r="W13" s="215"/>
      <c r="X13" s="215"/>
      <c r="Y13" s="215"/>
      <c r="Z13" s="49"/>
      <c r="AA13" s="214"/>
    </row>
    <row r="14" spans="1:29" s="20" customFormat="1" ht="20.6" customHeight="1" thickBot="1" x14ac:dyDescent="0.35">
      <c r="A14" s="10"/>
      <c r="B14" s="17"/>
      <c r="C14" s="216" t="str">
        <f>CHOOSE(MONTH(C4),"AVRIL")</f>
        <v>AVRIL</v>
      </c>
      <c r="D14" s="217"/>
      <c r="E14" s="217"/>
      <c r="F14" s="217"/>
      <c r="G14" s="217"/>
      <c r="H14" s="217"/>
      <c r="I14" s="218"/>
      <c r="J14" s="10"/>
      <c r="K14" s="216" t="str">
        <f>CHOOSE(MONTH(C4),"MAI")</f>
        <v>MAI</v>
      </c>
      <c r="L14" s="217"/>
      <c r="M14" s="217"/>
      <c r="N14" s="217"/>
      <c r="O14" s="217"/>
      <c r="P14" s="217"/>
      <c r="Q14" s="218"/>
      <c r="R14" s="10"/>
      <c r="S14" s="216" t="str">
        <f>CHOOSE(MONTH(C4),"JUIN")</f>
        <v>JUIN</v>
      </c>
      <c r="T14" s="217"/>
      <c r="U14" s="217"/>
      <c r="V14" s="217"/>
      <c r="W14" s="217"/>
      <c r="X14" s="217"/>
      <c r="Y14" s="218"/>
      <c r="Z14" s="50"/>
      <c r="AA14" s="214"/>
    </row>
    <row r="15" spans="1:29" s="20" customFormat="1" ht="16.350000000000001" customHeight="1" thickBot="1" x14ac:dyDescent="0.35">
      <c r="A15" s="10"/>
      <c r="B15" s="51"/>
      <c r="C15" s="74" t="str">
        <f t="shared" ref="C15:I15" si="24">CHOOSE(COLUMN(A$1)+(Débutsemvaclu="Lundi"),"Di","Lu","Ma","Me","Je","Ve","Sa","Di")</f>
        <v>Lu</v>
      </c>
      <c r="D15" s="74" t="str">
        <f t="shared" si="24"/>
        <v>Ma</v>
      </c>
      <c r="E15" s="74" t="str">
        <f t="shared" si="24"/>
        <v>Me</v>
      </c>
      <c r="F15" s="74" t="str">
        <f t="shared" si="24"/>
        <v>Je</v>
      </c>
      <c r="G15" s="74" t="str">
        <f t="shared" si="24"/>
        <v>Ve</v>
      </c>
      <c r="H15" s="80" t="str">
        <f t="shared" si="24"/>
        <v>Sa</v>
      </c>
      <c r="I15" s="80" t="str">
        <f t="shared" si="24"/>
        <v>Di</v>
      </c>
      <c r="J15" s="27"/>
      <c r="K15" s="74" t="str">
        <f t="shared" ref="K15:Q15" si="25">CHOOSE(COLUMN(A$1)+(Débutsemvaclu="Lundi"),"Di","Lu","Ma","Me","Je","Ve","Sa","Di")</f>
        <v>Lu</v>
      </c>
      <c r="L15" s="74" t="str">
        <f t="shared" si="25"/>
        <v>Ma</v>
      </c>
      <c r="M15" s="74" t="str">
        <f t="shared" si="25"/>
        <v>Me</v>
      </c>
      <c r="N15" s="74" t="str">
        <f t="shared" si="25"/>
        <v>Je</v>
      </c>
      <c r="O15" s="74" t="str">
        <f t="shared" si="25"/>
        <v>Ve</v>
      </c>
      <c r="P15" s="80" t="str">
        <f t="shared" si="25"/>
        <v>Sa</v>
      </c>
      <c r="Q15" s="80" t="str">
        <f t="shared" si="25"/>
        <v>Di</v>
      </c>
      <c r="R15" s="27"/>
      <c r="S15" s="74" t="str">
        <f t="shared" ref="S15:Y15" si="26">CHOOSE(COLUMN(A$1)+(Débutsemvaclu="Lundi"),"Di","Lu","Ma","Me","Je","Ve","Sa","Di")</f>
        <v>Lu</v>
      </c>
      <c r="T15" s="74" t="str">
        <f t="shared" si="26"/>
        <v>Ma</v>
      </c>
      <c r="U15" s="74" t="str">
        <f t="shared" si="26"/>
        <v>Me</v>
      </c>
      <c r="V15" s="74" t="str">
        <f t="shared" si="26"/>
        <v>Je</v>
      </c>
      <c r="W15" s="74" t="str">
        <f t="shared" si="26"/>
        <v>Ve</v>
      </c>
      <c r="X15" s="80" t="str">
        <f t="shared" si="26"/>
        <v>Sa</v>
      </c>
      <c r="Y15" s="80" t="str">
        <f t="shared" si="26"/>
        <v>Di</v>
      </c>
      <c r="Z15" s="52"/>
      <c r="AA15" s="214"/>
    </row>
    <row r="16" spans="1:29" ht="20.6" customHeight="1" x14ac:dyDescent="0.3">
      <c r="A16" s="15"/>
      <c r="B16" s="8"/>
      <c r="C16" s="35">
        <f t="shared" ref="C16:C21" si="27">DATE(Anovaclu,MONTH($C$13),1)-WEEKDAY(DATE(Anovaclu,MONTH($C$13),1),(Débutsemvaclu="Lundi")+1)+$A7*7-6</f>
        <v>43556</v>
      </c>
      <c r="D16" s="36">
        <f t="shared" ref="D16:D21" si="28">DATE(Anovaclu,MONTH($C$13),1)-WEEKDAY(DATE(Anovaclu,MONTH($C$13),1),(Débutsemvaclu="Lundi")+1)+$A7*7-5</f>
        <v>43557</v>
      </c>
      <c r="E16" s="36">
        <f t="shared" ref="E16:E21" si="29">DATE(Anovaclu,MONTH($C$13),1)-WEEKDAY(DATE(Anovaclu,MONTH($C$13),1),(Débutsemvaclu="Lundi")+1)+$A7*7-4</f>
        <v>43558</v>
      </c>
      <c r="F16" s="36">
        <f t="shared" ref="F16:F21" si="30">DATE(Anovaclu,MONTH($C$13),1)-WEEKDAY(DATE(Anovaclu,MONTH($C$13),1),(Débutsemvaclu="Lundi")+1)+$A7*7-3</f>
        <v>43559</v>
      </c>
      <c r="G16" s="36">
        <f t="shared" ref="G16:G21" si="31">DATE(Anovaclu,MONTH($C$13),1)-WEEKDAY(DATE(Anovaclu,MONTH($C$13),1),(Débutsemvaclu="Lundi")+1)+$A7*7-2</f>
        <v>43560</v>
      </c>
      <c r="H16" s="37">
        <f t="shared" ref="H16:H21" si="32">DATE(Anovaclu,MONTH($C$13),1)-WEEKDAY(DATE(Anovaclu,MONTH($C$13),1),(Débutsemvaclu="Lundi")+1)+$A7*7-1</f>
        <v>43561</v>
      </c>
      <c r="I16" s="38">
        <f t="shared" ref="I16:I21" si="33">DATE(Anovaclu,MONTH($C$13),1)-WEEKDAY(DATE(Anovaclu,MONTH($C$13),1),(Débutsemvaclu="Lundi")+1)+$A7*7</f>
        <v>43562</v>
      </c>
      <c r="J16" s="15"/>
      <c r="K16" s="35">
        <f t="shared" ref="K16:K21" si="34">DATE(Anovaclu,MONTH($K$13),1)-WEEKDAY(DATE(Anovaclu,MONTH($K$13),1),(Débutsemvaclu="Lundi")+1)+$A7*7-6</f>
        <v>43584</v>
      </c>
      <c r="L16" s="36">
        <f t="shared" ref="L16:L21" si="35">DATE(Anovaclu,MONTH($K$13),1)-WEEKDAY(DATE(Anovaclu,MONTH($K$13),1),(Débutsemvaclu="Lundi")+1)+$A7*7-5</f>
        <v>43585</v>
      </c>
      <c r="M16" s="36">
        <f t="shared" ref="M16:M21" si="36">DATE(Anovaclu,MONTH($K$13),1)-WEEKDAY(DATE(Anovaclu,MONTH($K$13),1),(Débutsemvaclu="Lundi")+1)+$A7*7-4</f>
        <v>43586</v>
      </c>
      <c r="N16" s="36">
        <f t="shared" ref="N16:N21" si="37">DATE(Anovaclu,MONTH($K$13),1)-WEEKDAY(DATE(Anovaclu,MONTH($K$13),1),(Débutsemvaclu="Lundi")+1)+$A7*7-3</f>
        <v>43587</v>
      </c>
      <c r="O16" s="36">
        <f t="shared" ref="O16:O21" si="38">DATE(Anovaclu,MONTH($K$13),1)-WEEKDAY(DATE(Anovaclu,MONTH($K$13),1),(Débutsemvaclu="Lundi")+1)+$A7*7-2</f>
        <v>43588</v>
      </c>
      <c r="P16" s="37">
        <f t="shared" ref="P16:P21" si="39">DATE(Anovaclu,MONTH($K$13),1)-WEEKDAY(DATE(Anovaclu,MONTH($K$13),1),(Débutsemvaclu="Lundi")+1)+$A7*7-1</f>
        <v>43589</v>
      </c>
      <c r="Q16" s="38">
        <f t="shared" ref="Q16:Q21" si="40">DATE(Anovaclu,MONTH($K$13),1)-WEEKDAY(DATE(Anovaclu,MONTH($K$13),1),(Débutsemvaclu="Lundi")+1)+$A7*7</f>
        <v>43590</v>
      </c>
      <c r="R16" s="15"/>
      <c r="S16" s="35">
        <f t="shared" ref="S16:S21" si="41">DATE(Anovaclu,MONTH($S$13),1)-WEEKDAY(DATE(Anovaclu,MONTH($S$13),1),(Débutsemvaclu="Lundi")+1)+$A7*7-6</f>
        <v>43612</v>
      </c>
      <c r="T16" s="36">
        <f t="shared" ref="T16:T21" si="42">DATE(Anovaclu,MONTH($S$13),1)-WEEKDAY(DATE(Anovaclu,MONTH($S$13),1),(Débutsemvaclu="Lundi")+1)+$A7*7-5</f>
        <v>43613</v>
      </c>
      <c r="U16" s="36">
        <f t="shared" ref="U16:U21" si="43">DATE(Anovaclu,MONTH($S$13),1)-WEEKDAY(DATE(Anovaclu,MONTH($S$13),1),(Débutsemvaclu="Lundi")+1)+$A7*7-4</f>
        <v>43614</v>
      </c>
      <c r="V16" s="36">
        <f t="shared" ref="V16:V21" si="44">DATE(Anovaclu,MONTH($S$13),1)-WEEKDAY(DATE(Anovaclu,MONTH($S$13),1),(Débutsemvaclu="Lundi")+1)+$A7*7-3</f>
        <v>43615</v>
      </c>
      <c r="W16" s="36">
        <f t="shared" ref="W16:W21" si="45">DATE(Anovaclu,MONTH($S$13),1)-WEEKDAY(DATE(Anovaclu,MONTH($S$13),1),(Débutsemvaclu="Lundi")+1)+$A7*7-2</f>
        <v>43616</v>
      </c>
      <c r="X16" s="37">
        <f t="shared" ref="X16:X21" si="46">DATE(Anovaclu,MONTH($S$13),1)-WEEKDAY(DATE(Anovaclu,MONTH($S$13),1),(Débutsemvaclu="Lundi")+1)+$A7*7-1</f>
        <v>43617</v>
      </c>
      <c r="Y16" s="38">
        <f t="shared" ref="Y16:Y21" si="47">DATE(Anovaclu,MONTH($S$13),1)-WEEKDAY(DATE(Anovaclu,MONTH($S$13),1),(Débutsemvaclu="Lundi")+1)+$A7*7</f>
        <v>43618</v>
      </c>
      <c r="Z16" s="14"/>
      <c r="AA16" s="214"/>
    </row>
    <row r="17" spans="1:27" ht="20.6" customHeight="1" x14ac:dyDescent="0.3">
      <c r="A17" s="15"/>
      <c r="B17" s="8"/>
      <c r="C17" s="39">
        <f t="shared" si="27"/>
        <v>43563</v>
      </c>
      <c r="D17" s="40">
        <f t="shared" si="28"/>
        <v>43564</v>
      </c>
      <c r="E17" s="40">
        <f t="shared" si="29"/>
        <v>43565</v>
      </c>
      <c r="F17" s="40">
        <f t="shared" si="30"/>
        <v>43566</v>
      </c>
      <c r="G17" s="40">
        <f t="shared" si="31"/>
        <v>43567</v>
      </c>
      <c r="H17" s="41">
        <f t="shared" si="32"/>
        <v>43568</v>
      </c>
      <c r="I17" s="42">
        <f t="shared" si="33"/>
        <v>43569</v>
      </c>
      <c r="J17" s="15"/>
      <c r="K17" s="39">
        <f t="shared" si="34"/>
        <v>43591</v>
      </c>
      <c r="L17" s="40">
        <f t="shared" si="35"/>
        <v>43592</v>
      </c>
      <c r="M17" s="40">
        <f t="shared" si="36"/>
        <v>43593</v>
      </c>
      <c r="N17" s="40">
        <f t="shared" si="37"/>
        <v>43594</v>
      </c>
      <c r="O17" s="40">
        <f t="shared" si="38"/>
        <v>43595</v>
      </c>
      <c r="P17" s="41">
        <f t="shared" si="39"/>
        <v>43596</v>
      </c>
      <c r="Q17" s="42">
        <f t="shared" si="40"/>
        <v>43597</v>
      </c>
      <c r="R17" s="15"/>
      <c r="S17" s="39">
        <f t="shared" si="41"/>
        <v>43619</v>
      </c>
      <c r="T17" s="40">
        <f t="shared" si="42"/>
        <v>43620</v>
      </c>
      <c r="U17" s="40">
        <f t="shared" si="43"/>
        <v>43621</v>
      </c>
      <c r="V17" s="40">
        <f t="shared" si="44"/>
        <v>43622</v>
      </c>
      <c r="W17" s="40">
        <f t="shared" si="45"/>
        <v>43623</v>
      </c>
      <c r="X17" s="41">
        <f t="shared" si="46"/>
        <v>43624</v>
      </c>
      <c r="Y17" s="42">
        <f t="shared" si="47"/>
        <v>43625</v>
      </c>
      <c r="Z17" s="14"/>
      <c r="AA17" s="214"/>
    </row>
    <row r="18" spans="1:27" ht="20.6" customHeight="1" x14ac:dyDescent="0.3">
      <c r="A18" s="15"/>
      <c r="B18" s="8"/>
      <c r="C18" s="39">
        <f t="shared" si="27"/>
        <v>43570</v>
      </c>
      <c r="D18" s="40">
        <f t="shared" si="28"/>
        <v>43571</v>
      </c>
      <c r="E18" s="40">
        <f t="shared" si="29"/>
        <v>43572</v>
      </c>
      <c r="F18" s="40">
        <f t="shared" si="30"/>
        <v>43573</v>
      </c>
      <c r="G18" s="40">
        <f t="shared" si="31"/>
        <v>43574</v>
      </c>
      <c r="H18" s="41">
        <f t="shared" si="32"/>
        <v>43575</v>
      </c>
      <c r="I18" s="42">
        <f t="shared" si="33"/>
        <v>43576</v>
      </c>
      <c r="J18" s="15"/>
      <c r="K18" s="39">
        <f t="shared" si="34"/>
        <v>43598</v>
      </c>
      <c r="L18" s="40">
        <f t="shared" si="35"/>
        <v>43599</v>
      </c>
      <c r="M18" s="40">
        <f t="shared" si="36"/>
        <v>43600</v>
      </c>
      <c r="N18" s="40">
        <f t="shared" si="37"/>
        <v>43601</v>
      </c>
      <c r="O18" s="40">
        <f t="shared" si="38"/>
        <v>43602</v>
      </c>
      <c r="P18" s="41">
        <f t="shared" si="39"/>
        <v>43603</v>
      </c>
      <c r="Q18" s="42">
        <f t="shared" si="40"/>
        <v>43604</v>
      </c>
      <c r="R18" s="15"/>
      <c r="S18" s="39">
        <f t="shared" si="41"/>
        <v>43626</v>
      </c>
      <c r="T18" s="40">
        <f t="shared" si="42"/>
        <v>43627</v>
      </c>
      <c r="U18" s="40">
        <f t="shared" si="43"/>
        <v>43628</v>
      </c>
      <c r="V18" s="40">
        <f t="shared" si="44"/>
        <v>43629</v>
      </c>
      <c r="W18" s="40">
        <f t="shared" si="45"/>
        <v>43630</v>
      </c>
      <c r="X18" s="41">
        <f t="shared" si="46"/>
        <v>43631</v>
      </c>
      <c r="Y18" s="42">
        <f t="shared" si="47"/>
        <v>43632</v>
      </c>
      <c r="Z18" s="14"/>
      <c r="AA18" s="214"/>
    </row>
    <row r="19" spans="1:27" ht="20.6" customHeight="1" x14ac:dyDescent="0.3">
      <c r="A19" s="15"/>
      <c r="B19" s="8"/>
      <c r="C19" s="39">
        <f t="shared" si="27"/>
        <v>43577</v>
      </c>
      <c r="D19" s="40">
        <f t="shared" si="28"/>
        <v>43578</v>
      </c>
      <c r="E19" s="40">
        <f t="shared" si="29"/>
        <v>43579</v>
      </c>
      <c r="F19" s="40">
        <f t="shared" si="30"/>
        <v>43580</v>
      </c>
      <c r="G19" s="40">
        <f t="shared" si="31"/>
        <v>43581</v>
      </c>
      <c r="H19" s="41">
        <f t="shared" si="32"/>
        <v>43582</v>
      </c>
      <c r="I19" s="42">
        <f t="shared" si="33"/>
        <v>43583</v>
      </c>
      <c r="J19" s="15"/>
      <c r="K19" s="39">
        <f t="shared" si="34"/>
        <v>43605</v>
      </c>
      <c r="L19" s="40">
        <f t="shared" si="35"/>
        <v>43606</v>
      </c>
      <c r="M19" s="40">
        <f t="shared" si="36"/>
        <v>43607</v>
      </c>
      <c r="N19" s="40">
        <f t="shared" si="37"/>
        <v>43608</v>
      </c>
      <c r="O19" s="40">
        <f t="shared" si="38"/>
        <v>43609</v>
      </c>
      <c r="P19" s="41">
        <f t="shared" si="39"/>
        <v>43610</v>
      </c>
      <c r="Q19" s="42">
        <f t="shared" si="40"/>
        <v>43611</v>
      </c>
      <c r="R19" s="15"/>
      <c r="S19" s="39">
        <f t="shared" si="41"/>
        <v>43633</v>
      </c>
      <c r="T19" s="40">
        <f t="shared" si="42"/>
        <v>43634</v>
      </c>
      <c r="U19" s="40">
        <f t="shared" si="43"/>
        <v>43635</v>
      </c>
      <c r="V19" s="40">
        <f t="shared" si="44"/>
        <v>43636</v>
      </c>
      <c r="W19" s="40">
        <f t="shared" si="45"/>
        <v>43637</v>
      </c>
      <c r="X19" s="41">
        <f t="shared" si="46"/>
        <v>43638</v>
      </c>
      <c r="Y19" s="42">
        <f t="shared" si="47"/>
        <v>43639</v>
      </c>
      <c r="Z19" s="14"/>
      <c r="AA19" s="214"/>
    </row>
    <row r="20" spans="1:27" ht="20.6" customHeight="1" x14ac:dyDescent="0.3">
      <c r="A20" s="15"/>
      <c r="B20" s="8"/>
      <c r="C20" s="39">
        <f t="shared" si="27"/>
        <v>43584</v>
      </c>
      <c r="D20" s="40">
        <f t="shared" si="28"/>
        <v>43585</v>
      </c>
      <c r="E20" s="40">
        <f t="shared" si="29"/>
        <v>43586</v>
      </c>
      <c r="F20" s="40">
        <f t="shared" si="30"/>
        <v>43587</v>
      </c>
      <c r="G20" s="40">
        <f t="shared" si="31"/>
        <v>43588</v>
      </c>
      <c r="H20" s="41">
        <f t="shared" si="32"/>
        <v>43589</v>
      </c>
      <c r="I20" s="42">
        <f t="shared" si="33"/>
        <v>43590</v>
      </c>
      <c r="J20" s="15"/>
      <c r="K20" s="39">
        <f t="shared" si="34"/>
        <v>43612</v>
      </c>
      <c r="L20" s="40">
        <f t="shared" si="35"/>
        <v>43613</v>
      </c>
      <c r="M20" s="40">
        <f t="shared" si="36"/>
        <v>43614</v>
      </c>
      <c r="N20" s="40">
        <f t="shared" si="37"/>
        <v>43615</v>
      </c>
      <c r="O20" s="40">
        <f t="shared" si="38"/>
        <v>43616</v>
      </c>
      <c r="P20" s="41">
        <f t="shared" si="39"/>
        <v>43617</v>
      </c>
      <c r="Q20" s="42">
        <f t="shared" si="40"/>
        <v>43618</v>
      </c>
      <c r="R20" s="15"/>
      <c r="S20" s="39">
        <f t="shared" si="41"/>
        <v>43640</v>
      </c>
      <c r="T20" s="40">
        <f t="shared" si="42"/>
        <v>43641</v>
      </c>
      <c r="U20" s="40">
        <f t="shared" si="43"/>
        <v>43642</v>
      </c>
      <c r="V20" s="40">
        <f t="shared" si="44"/>
        <v>43643</v>
      </c>
      <c r="W20" s="40">
        <f t="shared" si="45"/>
        <v>43644</v>
      </c>
      <c r="X20" s="41">
        <f t="shared" si="46"/>
        <v>43645</v>
      </c>
      <c r="Y20" s="42">
        <f t="shared" si="47"/>
        <v>43646</v>
      </c>
      <c r="Z20" s="14"/>
      <c r="AA20" s="214"/>
    </row>
    <row r="21" spans="1:27" ht="20.6" customHeight="1" thickBot="1" x14ac:dyDescent="0.35">
      <c r="A21" s="15"/>
      <c r="B21" s="8"/>
      <c r="C21" s="45">
        <f t="shared" si="27"/>
        <v>43591</v>
      </c>
      <c r="D21" s="46">
        <f t="shared" si="28"/>
        <v>43592</v>
      </c>
      <c r="E21" s="46">
        <f t="shared" si="29"/>
        <v>43593</v>
      </c>
      <c r="F21" s="46">
        <f t="shared" si="30"/>
        <v>43594</v>
      </c>
      <c r="G21" s="46">
        <f t="shared" si="31"/>
        <v>43595</v>
      </c>
      <c r="H21" s="47">
        <f t="shared" si="32"/>
        <v>43596</v>
      </c>
      <c r="I21" s="48">
        <f t="shared" si="33"/>
        <v>43597</v>
      </c>
      <c r="J21" s="15"/>
      <c r="K21" s="45">
        <f t="shared" si="34"/>
        <v>43619</v>
      </c>
      <c r="L21" s="46">
        <f t="shared" si="35"/>
        <v>43620</v>
      </c>
      <c r="M21" s="46">
        <f t="shared" si="36"/>
        <v>43621</v>
      </c>
      <c r="N21" s="46">
        <f t="shared" si="37"/>
        <v>43622</v>
      </c>
      <c r="O21" s="46">
        <f t="shared" si="38"/>
        <v>43623</v>
      </c>
      <c r="P21" s="47">
        <f t="shared" si="39"/>
        <v>43624</v>
      </c>
      <c r="Q21" s="48">
        <f t="shared" si="40"/>
        <v>43625</v>
      </c>
      <c r="R21" s="15"/>
      <c r="S21" s="45">
        <f t="shared" si="41"/>
        <v>43647</v>
      </c>
      <c r="T21" s="46">
        <f t="shared" si="42"/>
        <v>43648</v>
      </c>
      <c r="U21" s="46">
        <f t="shared" si="43"/>
        <v>43649</v>
      </c>
      <c r="V21" s="46">
        <f t="shared" si="44"/>
        <v>43650</v>
      </c>
      <c r="W21" s="46">
        <f t="shared" si="45"/>
        <v>43651</v>
      </c>
      <c r="X21" s="47">
        <f t="shared" si="46"/>
        <v>43652</v>
      </c>
      <c r="Y21" s="48">
        <f t="shared" si="47"/>
        <v>43653</v>
      </c>
      <c r="Z21" s="14"/>
      <c r="AA21" s="214"/>
    </row>
    <row r="22" spans="1:27" ht="13.35" customHeight="1" thickBot="1" x14ac:dyDescent="0.35">
      <c r="A22" s="15"/>
      <c r="B22" s="8"/>
      <c r="C22" s="215">
        <f>DATE(Anovaclu,7,1)</f>
        <v>43647</v>
      </c>
      <c r="D22" s="215"/>
      <c r="E22" s="215"/>
      <c r="F22" s="215"/>
      <c r="G22" s="215"/>
      <c r="H22" s="215"/>
      <c r="I22" s="215"/>
      <c r="J22" s="15"/>
      <c r="K22" s="215">
        <f>DATE(Anovaclu,8,1)</f>
        <v>43678</v>
      </c>
      <c r="L22" s="215"/>
      <c r="M22" s="215"/>
      <c r="N22" s="215"/>
      <c r="O22" s="215"/>
      <c r="P22" s="215"/>
      <c r="Q22" s="215"/>
      <c r="R22" s="15"/>
      <c r="S22" s="215">
        <f>DATE(Anovaclu,9,1)</f>
        <v>43709</v>
      </c>
      <c r="T22" s="215"/>
      <c r="U22" s="215"/>
      <c r="V22" s="215"/>
      <c r="W22" s="215"/>
      <c r="X22" s="215"/>
      <c r="Y22" s="215"/>
      <c r="Z22" s="7"/>
      <c r="AA22" s="214"/>
    </row>
    <row r="23" spans="1:27" s="20" customFormat="1" ht="20.6" customHeight="1" thickBot="1" x14ac:dyDescent="0.35">
      <c r="A23" s="10"/>
      <c r="B23" s="17"/>
      <c r="C23" s="216" t="str">
        <f>CHOOSE(MONTH(C4),"JUILLET")</f>
        <v>JUILLET</v>
      </c>
      <c r="D23" s="217"/>
      <c r="E23" s="217"/>
      <c r="F23" s="217"/>
      <c r="G23" s="217"/>
      <c r="H23" s="217"/>
      <c r="I23" s="218"/>
      <c r="J23" s="10"/>
      <c r="K23" s="216" t="str">
        <f>CHOOSE(MONTH(C4),"AOÛT")</f>
        <v>AOÛT</v>
      </c>
      <c r="L23" s="217"/>
      <c r="M23" s="217"/>
      <c r="N23" s="217"/>
      <c r="O23" s="217"/>
      <c r="P23" s="217"/>
      <c r="Q23" s="218"/>
      <c r="R23" s="10"/>
      <c r="S23" s="219" t="str">
        <f>CHOOSE(MONTH(C4),"SEPTEMBRE")</f>
        <v>SEPTEMBRE</v>
      </c>
      <c r="T23" s="220"/>
      <c r="U23" s="220"/>
      <c r="V23" s="220"/>
      <c r="W23" s="220"/>
      <c r="X23" s="220"/>
      <c r="Y23" s="218"/>
      <c r="Z23" s="19"/>
      <c r="AA23" s="214"/>
    </row>
    <row r="24" spans="1:27" s="20" customFormat="1" ht="16.350000000000001" customHeight="1" thickBot="1" x14ac:dyDescent="0.35">
      <c r="A24" s="10"/>
      <c r="B24" s="51"/>
      <c r="C24" s="74" t="str">
        <f t="shared" ref="C24:I24" si="48">CHOOSE(COLUMN(A$1)+(Débutsemvaclu="Lundi"),"Di","Lu","Ma","Me","Je","Ve","Sa","Di")</f>
        <v>Lu</v>
      </c>
      <c r="D24" s="74" t="str">
        <f t="shared" si="48"/>
        <v>Ma</v>
      </c>
      <c r="E24" s="74" t="str">
        <f t="shared" si="48"/>
        <v>Me</v>
      </c>
      <c r="F24" s="74" t="str">
        <f t="shared" si="48"/>
        <v>Je</v>
      </c>
      <c r="G24" s="74" t="str">
        <f t="shared" si="48"/>
        <v>Ve</v>
      </c>
      <c r="H24" s="80" t="str">
        <f t="shared" si="48"/>
        <v>Sa</v>
      </c>
      <c r="I24" s="80" t="str">
        <f t="shared" si="48"/>
        <v>Di</v>
      </c>
      <c r="J24" s="27"/>
      <c r="K24" s="74" t="str">
        <f t="shared" ref="K24:Q24" si="49">CHOOSE(COLUMN(A$1)+(Débutsemvaclu="Lundi"),"Di","Lu","Ma","Me","Je","Ve","Sa","Di")</f>
        <v>Lu</v>
      </c>
      <c r="L24" s="74" t="str">
        <f t="shared" si="49"/>
        <v>Ma</v>
      </c>
      <c r="M24" s="74" t="str">
        <f t="shared" si="49"/>
        <v>Me</v>
      </c>
      <c r="N24" s="74" t="str">
        <f t="shared" si="49"/>
        <v>Je</v>
      </c>
      <c r="O24" s="74" t="str">
        <f t="shared" si="49"/>
        <v>Ve</v>
      </c>
      <c r="P24" s="80" t="str">
        <f t="shared" si="49"/>
        <v>Sa</v>
      </c>
      <c r="Q24" s="119" t="str">
        <f t="shared" si="49"/>
        <v>Di</v>
      </c>
      <c r="R24" s="10"/>
      <c r="S24" s="76" t="str">
        <f t="shared" ref="S24:Y24" si="50">CHOOSE(COLUMN(A$1)+(Débutsemvaclu="Lundi"),"Di","Lu","Ma","Me","Je","Ve","Sa","Di")</f>
        <v>Lu</v>
      </c>
      <c r="T24" s="76" t="str">
        <f t="shared" si="50"/>
        <v>Ma</v>
      </c>
      <c r="U24" s="76" t="str">
        <f t="shared" si="50"/>
        <v>Me</v>
      </c>
      <c r="V24" s="76" t="str">
        <f t="shared" si="50"/>
        <v>Je</v>
      </c>
      <c r="W24" s="76" t="str">
        <f t="shared" si="50"/>
        <v>Ve</v>
      </c>
      <c r="X24" s="117" t="str">
        <f t="shared" si="50"/>
        <v>Sa</v>
      </c>
      <c r="Y24" s="117" t="str">
        <f t="shared" si="50"/>
        <v>Di</v>
      </c>
      <c r="Z24" s="57"/>
      <c r="AA24" s="214"/>
    </row>
    <row r="25" spans="1:27" ht="20.6" customHeight="1" x14ac:dyDescent="0.3">
      <c r="A25" s="15">
        <v>1</v>
      </c>
      <c r="B25" s="8"/>
      <c r="C25" s="35">
        <f t="shared" ref="C25:C30" si="51">DATE(Anovaclu,MONTH($C$22),1)-WEEKDAY(DATE(Anovaclu,MONTH($C$22),1),(Débutsemvaclu="Lundi")+1)+$A7*7-6</f>
        <v>43647</v>
      </c>
      <c r="D25" s="36">
        <f t="shared" ref="D25:D30" si="52">DATE(Anovaclu,MONTH($C$22),1)-WEEKDAY(DATE(Anovaclu,MONTH($C$22),1),(Débutsemvaclu="Lundi")+1)+$A7*7-5</f>
        <v>43648</v>
      </c>
      <c r="E25" s="36">
        <f t="shared" ref="E25:E30" si="53">DATE(Anovaclu,MONTH($C$22),1)-WEEKDAY(DATE(Anovaclu,MONTH($C$22),1),(Débutsemvaclu="Lundi")+1)+$A7*7-4</f>
        <v>43649</v>
      </c>
      <c r="F25" s="36">
        <f t="shared" ref="F25:F30" si="54">DATE(Anovaclu,MONTH($C$22),1)-WEEKDAY(DATE(Anovaclu,MONTH($C$22),1),(Débutsemvaclu="Lundi")+1)+$A7*7-3</f>
        <v>43650</v>
      </c>
      <c r="G25" s="36">
        <f t="shared" ref="G25:G30" si="55">DATE(Anovaclu,MONTH($C$22),1)-WEEKDAY(DATE(Anovaclu,MONTH($C$22),1),(Débutsemvaclu="Lundi")+1)+$A7*7-2</f>
        <v>43651</v>
      </c>
      <c r="H25" s="37">
        <f t="shared" ref="H25:H30" si="56">DATE(Anovaclu,MONTH($C$22),1)-WEEKDAY(DATE(Anovaclu,MONTH($C$22),1),(Débutsemvaclu="Lundi")+1)+$A7*7-1</f>
        <v>43652</v>
      </c>
      <c r="I25" s="38">
        <f t="shared" ref="I25:I30" si="57">DATE(Anovaclu,MONTH($C$22),1)-WEEKDAY(DATE(Anovaclu,MONTH($C$22),1),(Débutsemvaclu="Lundi")+1)+$A7*7</f>
        <v>43653</v>
      </c>
      <c r="J25" s="15"/>
      <c r="K25" s="35">
        <f t="shared" ref="K25:K30" si="58">DATE(Anovaclu,MONTH($K$22),1)-WEEKDAY(DATE(Anovaclu,MONTH($K$22),1),(Débutsemvaclu="Lundi")+1)+$A7*7-6</f>
        <v>43675</v>
      </c>
      <c r="L25" s="36">
        <f t="shared" ref="L25:L30" si="59">DATE(Anovaclu,MONTH($K$22),1)-WEEKDAY(DATE(Anovaclu,MONTH($K$22),1),(Débutsemvaclu="Lundi")+1)+$A7*7-5</f>
        <v>43676</v>
      </c>
      <c r="M25" s="36">
        <f t="shared" ref="M25:M30" si="60">DATE(Anovaclu,MONTH($K$22),1)-WEEKDAY(DATE(Anovaclu,MONTH($K$22),1),(Débutsemvaclu="Lundi")+1)+$A7*7-4</f>
        <v>43677</v>
      </c>
      <c r="N25" s="36">
        <f t="shared" ref="N25:N30" si="61">DATE(Anovaclu,MONTH($K$22),1)-WEEKDAY(DATE(Anovaclu,MONTH($K$22),1),(Débutsemvaclu="Lundi")+1)+$A7*7-3</f>
        <v>43678</v>
      </c>
      <c r="O25" s="36">
        <f t="shared" ref="O25:O30" si="62">DATE(Anovaclu,MONTH($K$22),1)-WEEKDAY(DATE(Anovaclu,MONTH($K$22),1),(Débutsemvaclu="Lundi")+1)+$A7*7-2</f>
        <v>43679</v>
      </c>
      <c r="P25" s="37">
        <f t="shared" ref="P25:P30" si="63">DATE(Anovaclu,MONTH($K$22),1)-WEEKDAY(DATE(Anovaclu,MONTH($K$22),1),(Débutsemvaclu="Lundi")+1)+$A7*7-1</f>
        <v>43680</v>
      </c>
      <c r="Q25" s="38">
        <f t="shared" ref="Q25:Q30" si="64">DATE(Anovaclu,MONTH($K$22),1)-WEEKDAY(DATE(Anovaclu,MONTH($K$22),1),(Débutsemvaclu="Lundi")+1)+$A7*7</f>
        <v>43681</v>
      </c>
      <c r="R25" s="15"/>
      <c r="S25" s="35">
        <f t="shared" ref="S25:S30" si="65">DATE(Anovaclu,MONTH($S$22),1)-WEEKDAY(DATE(Anovaclu,MONTH($S$22),1),(Débutsemvaclu="Lundi")+1)+$A7*7-6</f>
        <v>43703</v>
      </c>
      <c r="T25" s="36">
        <f t="shared" ref="T25:T30" si="66">DATE(Anovaclu,MONTH($S$22),1)-WEEKDAY(DATE(Anovaclu,MONTH($S$22),1),(Débutsemvaclu="Lundi")+1)+$A7*7-5</f>
        <v>43704</v>
      </c>
      <c r="U25" s="36">
        <f t="shared" ref="U25:U30" si="67">DATE(Anovaclu,MONTH($S$22),1)-WEEKDAY(DATE(Anovaclu,MONTH($S$22),1),(Débutsemvaclu="Lundi")+1)+$A7*7-4</f>
        <v>43705</v>
      </c>
      <c r="V25" s="36">
        <f t="shared" ref="V25:V30" si="68">DATE(Anovaclu,MONTH($S$22),1)-WEEKDAY(DATE(Anovaclu,MONTH($S$22),1),(Débutsemvaclu="Lundi")+1)+$A7*7-3</f>
        <v>43706</v>
      </c>
      <c r="W25" s="36">
        <f t="shared" ref="W25:W30" si="69">DATE(Anovaclu,MONTH($S$22),1)-WEEKDAY(DATE(Anovaclu,MONTH($S$22),1),(Débutsemvaclu="Lundi")+1)+$A7*7-2</f>
        <v>43707</v>
      </c>
      <c r="X25" s="37">
        <f t="shared" ref="X25:X30" si="70">DATE(Anovaclu,MONTH($S$22),1)-WEEKDAY(DATE(Anovaclu,MONTH($S$22),1),(Débutsemvaclu="Lundi")+1)+$A7*7-1</f>
        <v>43708</v>
      </c>
      <c r="Y25" s="38">
        <f t="shared" ref="Y25:Y30" si="71">DATE(Anovaclu,MONTH($S$22),1)-WEEKDAY(DATE(Anovaclu,MONTH($S$22),1),(Débutsemvaclu="Lundi")+1)+$A7*7</f>
        <v>43709</v>
      </c>
      <c r="Z25" s="14"/>
      <c r="AA25" s="214"/>
    </row>
    <row r="26" spans="1:27" ht="20.6" customHeight="1" x14ac:dyDescent="0.3">
      <c r="A26" s="15">
        <v>2</v>
      </c>
      <c r="B26" s="8"/>
      <c r="C26" s="39">
        <f t="shared" si="51"/>
        <v>43654</v>
      </c>
      <c r="D26" s="40">
        <f t="shared" si="52"/>
        <v>43655</v>
      </c>
      <c r="E26" s="40">
        <f t="shared" si="53"/>
        <v>43656</v>
      </c>
      <c r="F26" s="40">
        <f t="shared" si="54"/>
        <v>43657</v>
      </c>
      <c r="G26" s="40">
        <f t="shared" si="55"/>
        <v>43658</v>
      </c>
      <c r="H26" s="41">
        <f t="shared" si="56"/>
        <v>43659</v>
      </c>
      <c r="I26" s="42">
        <f t="shared" si="57"/>
        <v>43660</v>
      </c>
      <c r="J26" s="15"/>
      <c r="K26" s="39">
        <f t="shared" si="58"/>
        <v>43682</v>
      </c>
      <c r="L26" s="40">
        <f t="shared" si="59"/>
        <v>43683</v>
      </c>
      <c r="M26" s="40">
        <f t="shared" si="60"/>
        <v>43684</v>
      </c>
      <c r="N26" s="40">
        <f t="shared" si="61"/>
        <v>43685</v>
      </c>
      <c r="O26" s="40">
        <f t="shared" si="62"/>
        <v>43686</v>
      </c>
      <c r="P26" s="41">
        <f t="shared" si="63"/>
        <v>43687</v>
      </c>
      <c r="Q26" s="42">
        <f t="shared" si="64"/>
        <v>43688</v>
      </c>
      <c r="R26" s="15"/>
      <c r="S26" s="39">
        <f t="shared" si="65"/>
        <v>43710</v>
      </c>
      <c r="T26" s="40">
        <f t="shared" si="66"/>
        <v>43711</v>
      </c>
      <c r="U26" s="40">
        <f t="shared" si="67"/>
        <v>43712</v>
      </c>
      <c r="V26" s="40">
        <f t="shared" si="68"/>
        <v>43713</v>
      </c>
      <c r="W26" s="40">
        <f t="shared" si="69"/>
        <v>43714</v>
      </c>
      <c r="X26" s="41">
        <f t="shared" si="70"/>
        <v>43715</v>
      </c>
      <c r="Y26" s="42">
        <f t="shared" si="71"/>
        <v>43716</v>
      </c>
      <c r="Z26" s="14"/>
      <c r="AA26" s="214"/>
    </row>
    <row r="27" spans="1:27" ht="20.6" customHeight="1" x14ac:dyDescent="0.3">
      <c r="A27" s="15">
        <v>3</v>
      </c>
      <c r="B27" s="8"/>
      <c r="C27" s="39">
        <f t="shared" si="51"/>
        <v>43661</v>
      </c>
      <c r="D27" s="40">
        <f t="shared" si="52"/>
        <v>43662</v>
      </c>
      <c r="E27" s="40">
        <f t="shared" si="53"/>
        <v>43663</v>
      </c>
      <c r="F27" s="40">
        <f t="shared" si="54"/>
        <v>43664</v>
      </c>
      <c r="G27" s="40">
        <f t="shared" si="55"/>
        <v>43665</v>
      </c>
      <c r="H27" s="41">
        <f t="shared" si="56"/>
        <v>43666</v>
      </c>
      <c r="I27" s="42">
        <f t="shared" si="57"/>
        <v>43667</v>
      </c>
      <c r="J27" s="15"/>
      <c r="K27" s="39">
        <f t="shared" si="58"/>
        <v>43689</v>
      </c>
      <c r="L27" s="40">
        <f t="shared" si="59"/>
        <v>43690</v>
      </c>
      <c r="M27" s="40">
        <f t="shared" si="60"/>
        <v>43691</v>
      </c>
      <c r="N27" s="40">
        <f t="shared" si="61"/>
        <v>43692</v>
      </c>
      <c r="O27" s="40">
        <f t="shared" si="62"/>
        <v>43693</v>
      </c>
      <c r="P27" s="41">
        <f t="shared" si="63"/>
        <v>43694</v>
      </c>
      <c r="Q27" s="42">
        <f t="shared" si="64"/>
        <v>43695</v>
      </c>
      <c r="R27" s="15"/>
      <c r="S27" s="39">
        <f t="shared" si="65"/>
        <v>43717</v>
      </c>
      <c r="T27" s="40">
        <f t="shared" si="66"/>
        <v>43718</v>
      </c>
      <c r="U27" s="40">
        <f t="shared" si="67"/>
        <v>43719</v>
      </c>
      <c r="V27" s="40">
        <f t="shared" si="68"/>
        <v>43720</v>
      </c>
      <c r="W27" s="40">
        <f t="shared" si="69"/>
        <v>43721</v>
      </c>
      <c r="X27" s="41">
        <f t="shared" si="70"/>
        <v>43722</v>
      </c>
      <c r="Y27" s="42">
        <f t="shared" si="71"/>
        <v>43723</v>
      </c>
      <c r="Z27" s="14"/>
      <c r="AA27" s="214"/>
    </row>
    <row r="28" spans="1:27" ht="20.6" customHeight="1" x14ac:dyDescent="0.3">
      <c r="A28" s="15">
        <v>4</v>
      </c>
      <c r="B28" s="8"/>
      <c r="C28" s="39">
        <f t="shared" si="51"/>
        <v>43668</v>
      </c>
      <c r="D28" s="40">
        <f t="shared" si="52"/>
        <v>43669</v>
      </c>
      <c r="E28" s="40">
        <f t="shared" si="53"/>
        <v>43670</v>
      </c>
      <c r="F28" s="40">
        <f t="shared" si="54"/>
        <v>43671</v>
      </c>
      <c r="G28" s="40">
        <f t="shared" si="55"/>
        <v>43672</v>
      </c>
      <c r="H28" s="41">
        <f t="shared" si="56"/>
        <v>43673</v>
      </c>
      <c r="I28" s="42">
        <f t="shared" si="57"/>
        <v>43674</v>
      </c>
      <c r="J28" s="15"/>
      <c r="K28" s="39">
        <f t="shared" si="58"/>
        <v>43696</v>
      </c>
      <c r="L28" s="40">
        <f t="shared" si="59"/>
        <v>43697</v>
      </c>
      <c r="M28" s="40">
        <f t="shared" si="60"/>
        <v>43698</v>
      </c>
      <c r="N28" s="40">
        <f t="shared" si="61"/>
        <v>43699</v>
      </c>
      <c r="O28" s="40">
        <f t="shared" si="62"/>
        <v>43700</v>
      </c>
      <c r="P28" s="41">
        <f t="shared" si="63"/>
        <v>43701</v>
      </c>
      <c r="Q28" s="42">
        <f t="shared" si="64"/>
        <v>43702</v>
      </c>
      <c r="R28" s="15"/>
      <c r="S28" s="39">
        <f t="shared" si="65"/>
        <v>43724</v>
      </c>
      <c r="T28" s="40">
        <f t="shared" si="66"/>
        <v>43725</v>
      </c>
      <c r="U28" s="40">
        <f t="shared" si="67"/>
        <v>43726</v>
      </c>
      <c r="V28" s="40">
        <f t="shared" si="68"/>
        <v>43727</v>
      </c>
      <c r="W28" s="40">
        <f t="shared" si="69"/>
        <v>43728</v>
      </c>
      <c r="X28" s="41">
        <f t="shared" si="70"/>
        <v>43729</v>
      </c>
      <c r="Y28" s="42">
        <f t="shared" si="71"/>
        <v>43730</v>
      </c>
      <c r="Z28" s="14"/>
      <c r="AA28" s="214"/>
    </row>
    <row r="29" spans="1:27" ht="20.6" customHeight="1" x14ac:dyDescent="0.3">
      <c r="A29" s="15">
        <v>5</v>
      </c>
      <c r="B29" s="8"/>
      <c r="C29" s="39">
        <f t="shared" si="51"/>
        <v>43675</v>
      </c>
      <c r="D29" s="40">
        <f t="shared" si="52"/>
        <v>43676</v>
      </c>
      <c r="E29" s="40">
        <f t="shared" si="53"/>
        <v>43677</v>
      </c>
      <c r="F29" s="40">
        <f t="shared" si="54"/>
        <v>43678</v>
      </c>
      <c r="G29" s="40">
        <f t="shared" si="55"/>
        <v>43679</v>
      </c>
      <c r="H29" s="41">
        <f t="shared" si="56"/>
        <v>43680</v>
      </c>
      <c r="I29" s="42">
        <f t="shared" si="57"/>
        <v>43681</v>
      </c>
      <c r="J29" s="15"/>
      <c r="K29" s="39">
        <f t="shared" si="58"/>
        <v>43703</v>
      </c>
      <c r="L29" s="40">
        <f t="shared" si="59"/>
        <v>43704</v>
      </c>
      <c r="M29" s="40">
        <f t="shared" si="60"/>
        <v>43705</v>
      </c>
      <c r="N29" s="40">
        <f t="shared" si="61"/>
        <v>43706</v>
      </c>
      <c r="O29" s="40">
        <f t="shared" si="62"/>
        <v>43707</v>
      </c>
      <c r="P29" s="41">
        <f t="shared" si="63"/>
        <v>43708</v>
      </c>
      <c r="Q29" s="42">
        <f t="shared" si="64"/>
        <v>43709</v>
      </c>
      <c r="R29" s="15"/>
      <c r="S29" s="39">
        <f t="shared" si="65"/>
        <v>43731</v>
      </c>
      <c r="T29" s="40">
        <f t="shared" si="66"/>
        <v>43732</v>
      </c>
      <c r="U29" s="40">
        <f t="shared" si="67"/>
        <v>43733</v>
      </c>
      <c r="V29" s="40">
        <f t="shared" si="68"/>
        <v>43734</v>
      </c>
      <c r="W29" s="40">
        <f t="shared" si="69"/>
        <v>43735</v>
      </c>
      <c r="X29" s="41">
        <f t="shared" si="70"/>
        <v>43736</v>
      </c>
      <c r="Y29" s="42">
        <f t="shared" si="71"/>
        <v>43737</v>
      </c>
      <c r="Z29" s="14"/>
      <c r="AA29" s="214"/>
    </row>
    <row r="30" spans="1:27" ht="20.6" customHeight="1" thickBot="1" x14ac:dyDescent="0.35">
      <c r="A30" s="15">
        <v>6</v>
      </c>
      <c r="B30" s="8"/>
      <c r="C30" s="45">
        <f t="shared" si="51"/>
        <v>43682</v>
      </c>
      <c r="D30" s="46">
        <f t="shared" si="52"/>
        <v>43683</v>
      </c>
      <c r="E30" s="46">
        <f t="shared" si="53"/>
        <v>43684</v>
      </c>
      <c r="F30" s="46">
        <f t="shared" si="54"/>
        <v>43685</v>
      </c>
      <c r="G30" s="46">
        <f t="shared" si="55"/>
        <v>43686</v>
      </c>
      <c r="H30" s="47">
        <f t="shared" si="56"/>
        <v>43687</v>
      </c>
      <c r="I30" s="48">
        <f t="shared" si="57"/>
        <v>43688</v>
      </c>
      <c r="J30" s="15"/>
      <c r="K30" s="45">
        <f t="shared" si="58"/>
        <v>43710</v>
      </c>
      <c r="L30" s="46">
        <f t="shared" si="59"/>
        <v>43711</v>
      </c>
      <c r="M30" s="46">
        <f t="shared" si="60"/>
        <v>43712</v>
      </c>
      <c r="N30" s="46">
        <f t="shared" si="61"/>
        <v>43713</v>
      </c>
      <c r="O30" s="46">
        <f t="shared" si="62"/>
        <v>43714</v>
      </c>
      <c r="P30" s="47">
        <f t="shared" si="63"/>
        <v>43715</v>
      </c>
      <c r="Q30" s="48">
        <f t="shared" si="64"/>
        <v>43716</v>
      </c>
      <c r="R30" s="15"/>
      <c r="S30" s="45">
        <f t="shared" si="65"/>
        <v>43738</v>
      </c>
      <c r="T30" s="46">
        <f t="shared" si="66"/>
        <v>43739</v>
      </c>
      <c r="U30" s="46">
        <f t="shared" si="67"/>
        <v>43740</v>
      </c>
      <c r="V30" s="46">
        <f t="shared" si="68"/>
        <v>43741</v>
      </c>
      <c r="W30" s="46">
        <f t="shared" si="69"/>
        <v>43742</v>
      </c>
      <c r="X30" s="47">
        <f t="shared" si="70"/>
        <v>43743</v>
      </c>
      <c r="Y30" s="48">
        <f t="shared" si="71"/>
        <v>43744</v>
      </c>
      <c r="Z30" s="14"/>
      <c r="AA30" s="214"/>
    </row>
    <row r="31" spans="1:27" ht="13.35" customHeight="1" thickBot="1" x14ac:dyDescent="0.35">
      <c r="A31" s="15"/>
      <c r="B31" s="8"/>
      <c r="C31" s="215">
        <f>DATE(Anovaclu,10,1)</f>
        <v>43739</v>
      </c>
      <c r="D31" s="215"/>
      <c r="E31" s="215"/>
      <c r="F31" s="215"/>
      <c r="G31" s="215"/>
      <c r="H31" s="215"/>
      <c r="I31" s="215"/>
      <c r="J31" s="15"/>
      <c r="K31" s="215">
        <f>DATE(Anovaclu,11,1)</f>
        <v>43770</v>
      </c>
      <c r="L31" s="215"/>
      <c r="M31" s="215"/>
      <c r="N31" s="215"/>
      <c r="O31" s="215"/>
      <c r="P31" s="215"/>
      <c r="Q31" s="215"/>
      <c r="R31" s="15"/>
      <c r="S31" s="215">
        <f>DATE(Anovaclu,12,1)</f>
        <v>43800</v>
      </c>
      <c r="T31" s="215"/>
      <c r="U31" s="215"/>
      <c r="V31" s="215"/>
      <c r="W31" s="215"/>
      <c r="X31" s="215"/>
      <c r="Y31" s="215"/>
      <c r="Z31" s="7"/>
      <c r="AA31" s="214"/>
    </row>
    <row r="32" spans="1:27" s="20" customFormat="1" ht="20.6" customHeight="1" thickBot="1" x14ac:dyDescent="0.35">
      <c r="A32" s="10"/>
      <c r="B32" s="17"/>
      <c r="C32" s="216" t="str">
        <f>CHOOSE(MONTH(C4),"OCTOBRE")</f>
        <v>OCTOBRE</v>
      </c>
      <c r="D32" s="217"/>
      <c r="E32" s="217"/>
      <c r="F32" s="217"/>
      <c r="G32" s="217"/>
      <c r="H32" s="217"/>
      <c r="I32" s="218"/>
      <c r="J32" s="10"/>
      <c r="K32" s="216" t="str">
        <f>CHOOSE(MONTH(C4),"NOVEMBRE")</f>
        <v>NOVEMBRE</v>
      </c>
      <c r="L32" s="217"/>
      <c r="M32" s="217"/>
      <c r="N32" s="217"/>
      <c r="O32" s="217"/>
      <c r="P32" s="217"/>
      <c r="Q32" s="218"/>
      <c r="R32" s="10"/>
      <c r="S32" s="216" t="str">
        <f>CHOOSE(MONTH(C4),"DÉCEMBRE")</f>
        <v>DÉCEMBRE</v>
      </c>
      <c r="T32" s="217"/>
      <c r="U32" s="217"/>
      <c r="V32" s="217"/>
      <c r="W32" s="217"/>
      <c r="X32" s="217"/>
      <c r="Y32" s="218"/>
      <c r="Z32" s="19"/>
      <c r="AA32" s="214"/>
    </row>
    <row r="33" spans="1:27" s="20" customFormat="1" ht="16.350000000000001" customHeight="1" thickBot="1" x14ac:dyDescent="0.35">
      <c r="A33" s="10"/>
      <c r="B33" s="51"/>
      <c r="C33" s="74" t="str">
        <f t="shared" ref="C33:I33" si="72">CHOOSE(COLUMN(A$1)+(Débutsemvaclu="Lundi"),"Di","Lu","Ma","Me","Je","Ve","Sa","Di")</f>
        <v>Lu</v>
      </c>
      <c r="D33" s="74" t="str">
        <f t="shared" si="72"/>
        <v>Ma</v>
      </c>
      <c r="E33" s="74" t="str">
        <f t="shared" si="72"/>
        <v>Me</v>
      </c>
      <c r="F33" s="74" t="str">
        <f t="shared" si="72"/>
        <v>Je</v>
      </c>
      <c r="G33" s="74" t="str">
        <f t="shared" si="72"/>
        <v>Ve</v>
      </c>
      <c r="H33" s="80" t="str">
        <f t="shared" si="72"/>
        <v>Sa</v>
      </c>
      <c r="I33" s="80" t="str">
        <f t="shared" si="72"/>
        <v>Di</v>
      </c>
      <c r="J33" s="27"/>
      <c r="K33" s="74" t="str">
        <f t="shared" ref="K33:Q33" si="73">CHOOSE(COLUMN(A$1)+(Débutsemvaclu="Lundi"),"Di","Lu","Ma","Me","Je","Ve","Sa","Di")</f>
        <v>Lu</v>
      </c>
      <c r="L33" s="74" t="str">
        <f t="shared" si="73"/>
        <v>Ma</v>
      </c>
      <c r="M33" s="74" t="str">
        <f t="shared" si="73"/>
        <v>Me</v>
      </c>
      <c r="N33" s="74" t="str">
        <f t="shared" si="73"/>
        <v>Je</v>
      </c>
      <c r="O33" s="74" t="str">
        <f t="shared" si="73"/>
        <v>Ve</v>
      </c>
      <c r="P33" s="80" t="str">
        <f t="shared" si="73"/>
        <v>Sa</v>
      </c>
      <c r="Q33" s="80" t="str">
        <f t="shared" si="73"/>
        <v>Di</v>
      </c>
      <c r="R33" s="27"/>
      <c r="S33" s="74" t="str">
        <f t="shared" ref="S33:Y33" si="74">CHOOSE(COLUMN(A$1)+(Débutsemvaclu="Lundi"),"Di","Lu","Ma","Me","Je","Ve","Sa","Di")</f>
        <v>Lu</v>
      </c>
      <c r="T33" s="74" t="str">
        <f t="shared" si="74"/>
        <v>Ma</v>
      </c>
      <c r="U33" s="74" t="str">
        <f t="shared" si="74"/>
        <v>Me</v>
      </c>
      <c r="V33" s="74" t="str">
        <f t="shared" si="74"/>
        <v>Je</v>
      </c>
      <c r="W33" s="74" t="str">
        <f t="shared" si="74"/>
        <v>Ve</v>
      </c>
      <c r="X33" s="80" t="str">
        <f t="shared" si="74"/>
        <v>Sa</v>
      </c>
      <c r="Y33" s="80" t="str">
        <f t="shared" si="74"/>
        <v>Di</v>
      </c>
      <c r="Z33" s="78"/>
      <c r="AA33" s="214"/>
    </row>
    <row r="34" spans="1:27" ht="20.6" customHeight="1" x14ac:dyDescent="0.3">
      <c r="A34" s="15"/>
      <c r="B34" s="8"/>
      <c r="C34" s="35">
        <f t="shared" ref="C34:C39" si="75">DATE(Anovaclu,MONTH($C$31),1)-WEEKDAY(DATE(Anovaclu,MONTH($C$31),1),(Débutsemvaclu="Lundi")+1)+$A7*7-6</f>
        <v>43738</v>
      </c>
      <c r="D34" s="36">
        <f t="shared" ref="D34:D39" si="76">DATE(Anovaclu,MONTH($C$31),1)-WEEKDAY(DATE(Anovaclu,MONTH($C$31),1),(Débutsemvaclu="Lundi")+1)+$A7*7-5</f>
        <v>43739</v>
      </c>
      <c r="E34" s="36">
        <f t="shared" ref="E34:E39" si="77">DATE(Anovaclu,MONTH($C$31),1)-WEEKDAY(DATE(Anovaclu,MONTH($C$31),1),(Débutsemvaclu="Lundi")+1)+$A7*7-4</f>
        <v>43740</v>
      </c>
      <c r="F34" s="36">
        <f t="shared" ref="F34:F39" si="78">DATE(Anovaclu,MONTH($C$31),1)-WEEKDAY(DATE(Anovaclu,MONTH($C$31),1),(Débutsemvaclu="Lundi")+1)+$A7*7-3</f>
        <v>43741</v>
      </c>
      <c r="G34" s="36">
        <f t="shared" ref="G34:G39" si="79">DATE(Anovaclu,MONTH($C$31),1)-WEEKDAY(DATE(Anovaclu,MONTH($C$31),1),(Débutsemvaclu="Lundi")+1)+$A7*7-2</f>
        <v>43742</v>
      </c>
      <c r="H34" s="37">
        <f t="shared" ref="H34:H39" si="80">DATE(Anovaclu,MONTH($C$31),1)-WEEKDAY(DATE(Anovaclu,MONTH($C$31),1),(Débutsemvaclu="Lundi")+1)+$A7*7-1</f>
        <v>43743</v>
      </c>
      <c r="I34" s="38">
        <f t="shared" ref="I34:I39" si="81">DATE(Anovaclu,MONTH($C$31),1)-WEEKDAY(DATE(Anovaclu,MONTH($C$31),1),(Débutsemvaclu="Lundi")+1)+$A7*7</f>
        <v>43744</v>
      </c>
      <c r="J34" s="15"/>
      <c r="K34" s="35">
        <f t="shared" ref="K34:K39" si="82">DATE(Anovaclu,MONTH($K$31),1)-WEEKDAY(DATE(Anovaclu,MONTH($K$31),1),(Débutsemvaclu="Lundi")+1)+$A7*7-6</f>
        <v>43766</v>
      </c>
      <c r="L34" s="36">
        <f t="shared" ref="L34:L39" si="83">DATE(Anovaclu,MONTH($K$31),1)-WEEKDAY(DATE(Anovaclu,MONTH($K$31),1),(Débutsemvaclu="Lundi")+1)+$A7*7-5</f>
        <v>43767</v>
      </c>
      <c r="M34" s="36">
        <f t="shared" ref="M34:M39" si="84">DATE(Anovaclu,MONTH($K$31),1)-WEEKDAY(DATE(Anovaclu,MONTH($K$31),1),(Débutsemvaclu="Lundi")+1)+$A7*7-4</f>
        <v>43768</v>
      </c>
      <c r="N34" s="36">
        <f t="shared" ref="N34:N39" si="85">DATE(Anovaclu,MONTH($K$31),1)-WEEKDAY(DATE(Anovaclu,MONTH($K$31),1),(Débutsemvaclu="Lundi")+1)+$A7*7-3</f>
        <v>43769</v>
      </c>
      <c r="O34" s="36">
        <f t="shared" ref="O34:O39" si="86">DATE(Anovaclu,MONTH($K$31),1)-WEEKDAY(DATE(Anovaclu,MONTH($K$31),1),(Débutsemvaclu="Lundi")+1)+$A7*7-2</f>
        <v>43770</v>
      </c>
      <c r="P34" s="37">
        <f t="shared" ref="P34:P39" si="87">DATE(Anovaclu,MONTH($K$31),1)-WEEKDAY(DATE(Anovaclu,MONTH($K$31),1),(Débutsemvaclu="Lundi")+1)+$A7*7-1</f>
        <v>43771</v>
      </c>
      <c r="Q34" s="38">
        <f t="shared" ref="Q34:Q39" si="88">DATE(Anovaclu,MONTH($K$31),1)-WEEKDAY(DATE(Anovaclu,MONTH($K$31),1),(Débutsemvaclu="Lundi")+1)+$A7*7</f>
        <v>43772</v>
      </c>
      <c r="R34" s="15"/>
      <c r="S34" s="35">
        <f t="shared" ref="S34:S39" si="89">DATE(Anovaclu,MONTH($S$31),1)-WEEKDAY(DATE(Anovaclu,MONTH($S$31),1),(Débutsemvaclu="Lundi")+1)+$A7*7-6</f>
        <v>43794</v>
      </c>
      <c r="T34" s="36">
        <f t="shared" ref="T34:T39" si="90">DATE(Anovaclu,MONTH($S$31),1)-WEEKDAY(DATE(Anovaclu,MONTH($S$31),1),(Débutsemvaclu="Lundi")+1)+$A7*7-5</f>
        <v>43795</v>
      </c>
      <c r="U34" s="36">
        <f t="shared" ref="U34:U39" si="91">DATE(Anovaclu,MONTH($S$31),1)-WEEKDAY(DATE(Anovaclu,MONTH($S$31),1),(Débutsemvaclu="Lundi")+1)+$A7*7-4</f>
        <v>43796</v>
      </c>
      <c r="V34" s="36">
        <f t="shared" ref="V34:V39" si="92">DATE(Anovaclu,MONTH($S$31),1)-WEEKDAY(DATE(Anovaclu,MONTH($S$31),1),(Débutsemvaclu="Lundi")+1)+$A7*7-3</f>
        <v>43797</v>
      </c>
      <c r="W34" s="36">
        <f t="shared" ref="W34:W39" si="93">DATE(Anovaclu,MONTH($S$31),1)-WEEKDAY(DATE(Anovaclu,MONTH($S$31),1),(Débutsemvaclu="Lundi")+1)+$A7*7-2</f>
        <v>43798</v>
      </c>
      <c r="X34" s="37">
        <f t="shared" ref="X34:X39" si="94">DATE(Anovaclu,MONTH($S$31),1)-WEEKDAY(DATE(Anovaclu,MONTH($S$31),1),(Débutsemvaclu="Lundi")+1)+$A7*7-1</f>
        <v>43799</v>
      </c>
      <c r="Y34" s="38">
        <f t="shared" ref="Y34:Y39" si="95">DATE(Anovaclu,MONTH($S$31),1)-WEEKDAY(DATE(Anovaclu,MONTH($S$31),1),(Débutsemvaclu="Lundi")+1)+$A7*7</f>
        <v>43800</v>
      </c>
      <c r="Z34" s="14"/>
      <c r="AA34" s="214"/>
    </row>
    <row r="35" spans="1:27" ht="20.6" customHeight="1" x14ac:dyDescent="0.3">
      <c r="A35" s="15"/>
      <c r="B35" s="8"/>
      <c r="C35" s="39">
        <f t="shared" si="75"/>
        <v>43745</v>
      </c>
      <c r="D35" s="40">
        <f t="shared" si="76"/>
        <v>43746</v>
      </c>
      <c r="E35" s="40">
        <f t="shared" si="77"/>
        <v>43747</v>
      </c>
      <c r="F35" s="40">
        <f t="shared" si="78"/>
        <v>43748</v>
      </c>
      <c r="G35" s="40">
        <f t="shared" si="79"/>
        <v>43749</v>
      </c>
      <c r="H35" s="41">
        <f t="shared" si="80"/>
        <v>43750</v>
      </c>
      <c r="I35" s="42">
        <f t="shared" si="81"/>
        <v>43751</v>
      </c>
      <c r="J35" s="15"/>
      <c r="K35" s="39">
        <f t="shared" si="82"/>
        <v>43773</v>
      </c>
      <c r="L35" s="40">
        <f t="shared" si="83"/>
        <v>43774</v>
      </c>
      <c r="M35" s="40">
        <f t="shared" si="84"/>
        <v>43775</v>
      </c>
      <c r="N35" s="40">
        <f t="shared" si="85"/>
        <v>43776</v>
      </c>
      <c r="O35" s="40">
        <f t="shared" si="86"/>
        <v>43777</v>
      </c>
      <c r="P35" s="41">
        <f t="shared" si="87"/>
        <v>43778</v>
      </c>
      <c r="Q35" s="42">
        <f t="shared" si="88"/>
        <v>43779</v>
      </c>
      <c r="R35" s="15"/>
      <c r="S35" s="39">
        <f t="shared" si="89"/>
        <v>43801</v>
      </c>
      <c r="T35" s="40">
        <f t="shared" si="90"/>
        <v>43802</v>
      </c>
      <c r="U35" s="40">
        <f t="shared" si="91"/>
        <v>43803</v>
      </c>
      <c r="V35" s="40">
        <f t="shared" si="92"/>
        <v>43804</v>
      </c>
      <c r="W35" s="40">
        <f t="shared" si="93"/>
        <v>43805</v>
      </c>
      <c r="X35" s="41">
        <f t="shared" si="94"/>
        <v>43806</v>
      </c>
      <c r="Y35" s="42">
        <f t="shared" si="95"/>
        <v>43807</v>
      </c>
      <c r="Z35" s="14"/>
      <c r="AA35" s="214"/>
    </row>
    <row r="36" spans="1:27" ht="20.6" customHeight="1" x14ac:dyDescent="0.3">
      <c r="A36" s="15"/>
      <c r="B36" s="8"/>
      <c r="C36" s="39">
        <f t="shared" si="75"/>
        <v>43752</v>
      </c>
      <c r="D36" s="40">
        <f t="shared" si="76"/>
        <v>43753</v>
      </c>
      <c r="E36" s="40">
        <f t="shared" si="77"/>
        <v>43754</v>
      </c>
      <c r="F36" s="40">
        <f t="shared" si="78"/>
        <v>43755</v>
      </c>
      <c r="G36" s="40">
        <f t="shared" si="79"/>
        <v>43756</v>
      </c>
      <c r="H36" s="41">
        <f t="shared" si="80"/>
        <v>43757</v>
      </c>
      <c r="I36" s="42">
        <f t="shared" si="81"/>
        <v>43758</v>
      </c>
      <c r="J36" s="15"/>
      <c r="K36" s="39">
        <f t="shared" si="82"/>
        <v>43780</v>
      </c>
      <c r="L36" s="40">
        <f t="shared" si="83"/>
        <v>43781</v>
      </c>
      <c r="M36" s="40">
        <f t="shared" si="84"/>
        <v>43782</v>
      </c>
      <c r="N36" s="40">
        <f t="shared" si="85"/>
        <v>43783</v>
      </c>
      <c r="O36" s="40">
        <f t="shared" si="86"/>
        <v>43784</v>
      </c>
      <c r="P36" s="41">
        <f t="shared" si="87"/>
        <v>43785</v>
      </c>
      <c r="Q36" s="42">
        <f t="shared" si="88"/>
        <v>43786</v>
      </c>
      <c r="R36" s="15"/>
      <c r="S36" s="39">
        <f t="shared" si="89"/>
        <v>43808</v>
      </c>
      <c r="T36" s="40">
        <f t="shared" si="90"/>
        <v>43809</v>
      </c>
      <c r="U36" s="40">
        <f t="shared" si="91"/>
        <v>43810</v>
      </c>
      <c r="V36" s="40">
        <f t="shared" si="92"/>
        <v>43811</v>
      </c>
      <c r="W36" s="40">
        <f t="shared" si="93"/>
        <v>43812</v>
      </c>
      <c r="X36" s="41">
        <f t="shared" si="94"/>
        <v>43813</v>
      </c>
      <c r="Y36" s="42">
        <f t="shared" si="95"/>
        <v>43814</v>
      </c>
      <c r="Z36" s="14"/>
      <c r="AA36" s="214"/>
    </row>
    <row r="37" spans="1:27" ht="20.6" customHeight="1" x14ac:dyDescent="0.3">
      <c r="A37" s="15"/>
      <c r="B37" s="8"/>
      <c r="C37" s="39">
        <f t="shared" si="75"/>
        <v>43759</v>
      </c>
      <c r="D37" s="40">
        <f t="shared" si="76"/>
        <v>43760</v>
      </c>
      <c r="E37" s="40">
        <f t="shared" si="77"/>
        <v>43761</v>
      </c>
      <c r="F37" s="40">
        <f t="shared" si="78"/>
        <v>43762</v>
      </c>
      <c r="G37" s="40">
        <f t="shared" si="79"/>
        <v>43763</v>
      </c>
      <c r="H37" s="41">
        <f t="shared" si="80"/>
        <v>43764</v>
      </c>
      <c r="I37" s="42">
        <f t="shared" si="81"/>
        <v>43765</v>
      </c>
      <c r="J37" s="15"/>
      <c r="K37" s="39">
        <f t="shared" si="82"/>
        <v>43787</v>
      </c>
      <c r="L37" s="40">
        <f t="shared" si="83"/>
        <v>43788</v>
      </c>
      <c r="M37" s="40">
        <f t="shared" si="84"/>
        <v>43789</v>
      </c>
      <c r="N37" s="40">
        <f t="shared" si="85"/>
        <v>43790</v>
      </c>
      <c r="O37" s="40">
        <f t="shared" si="86"/>
        <v>43791</v>
      </c>
      <c r="P37" s="41">
        <f t="shared" si="87"/>
        <v>43792</v>
      </c>
      <c r="Q37" s="42">
        <f t="shared" si="88"/>
        <v>43793</v>
      </c>
      <c r="R37" s="15"/>
      <c r="S37" s="39">
        <f t="shared" si="89"/>
        <v>43815</v>
      </c>
      <c r="T37" s="40">
        <f t="shared" si="90"/>
        <v>43816</v>
      </c>
      <c r="U37" s="40">
        <f t="shared" si="91"/>
        <v>43817</v>
      </c>
      <c r="V37" s="40">
        <f t="shared" si="92"/>
        <v>43818</v>
      </c>
      <c r="W37" s="40">
        <f t="shared" si="93"/>
        <v>43819</v>
      </c>
      <c r="X37" s="41">
        <f t="shared" si="94"/>
        <v>43820</v>
      </c>
      <c r="Y37" s="42">
        <f t="shared" si="95"/>
        <v>43821</v>
      </c>
      <c r="Z37" s="14"/>
      <c r="AA37" s="214"/>
    </row>
    <row r="38" spans="1:27" ht="20.6" customHeight="1" x14ac:dyDescent="0.3">
      <c r="A38" s="15"/>
      <c r="B38" s="8"/>
      <c r="C38" s="39">
        <f t="shared" si="75"/>
        <v>43766</v>
      </c>
      <c r="D38" s="40">
        <f t="shared" si="76"/>
        <v>43767</v>
      </c>
      <c r="E38" s="40">
        <f t="shared" si="77"/>
        <v>43768</v>
      </c>
      <c r="F38" s="40">
        <f t="shared" si="78"/>
        <v>43769</v>
      </c>
      <c r="G38" s="40">
        <f t="shared" si="79"/>
        <v>43770</v>
      </c>
      <c r="H38" s="41">
        <f t="shared" si="80"/>
        <v>43771</v>
      </c>
      <c r="I38" s="42">
        <f t="shared" si="81"/>
        <v>43772</v>
      </c>
      <c r="J38" s="15"/>
      <c r="K38" s="39">
        <f t="shared" si="82"/>
        <v>43794</v>
      </c>
      <c r="L38" s="40">
        <f t="shared" si="83"/>
        <v>43795</v>
      </c>
      <c r="M38" s="40">
        <f t="shared" si="84"/>
        <v>43796</v>
      </c>
      <c r="N38" s="40">
        <f t="shared" si="85"/>
        <v>43797</v>
      </c>
      <c r="O38" s="40">
        <f t="shared" si="86"/>
        <v>43798</v>
      </c>
      <c r="P38" s="41">
        <f t="shared" si="87"/>
        <v>43799</v>
      </c>
      <c r="Q38" s="42">
        <f t="shared" si="88"/>
        <v>43800</v>
      </c>
      <c r="R38" s="15"/>
      <c r="S38" s="39">
        <f t="shared" si="89"/>
        <v>43822</v>
      </c>
      <c r="T38" s="40">
        <f t="shared" si="90"/>
        <v>43823</v>
      </c>
      <c r="U38" s="40">
        <f t="shared" si="91"/>
        <v>43824</v>
      </c>
      <c r="V38" s="40">
        <f t="shared" si="92"/>
        <v>43825</v>
      </c>
      <c r="W38" s="40">
        <f t="shared" si="93"/>
        <v>43826</v>
      </c>
      <c r="X38" s="41">
        <f t="shared" si="94"/>
        <v>43827</v>
      </c>
      <c r="Y38" s="42">
        <f t="shared" si="95"/>
        <v>43828</v>
      </c>
      <c r="Z38" s="14"/>
      <c r="AA38" s="214"/>
    </row>
    <row r="39" spans="1:27" ht="20.6" customHeight="1" thickBot="1" x14ac:dyDescent="0.35">
      <c r="A39" s="15"/>
      <c r="B39" s="8"/>
      <c r="C39" s="45">
        <f t="shared" si="75"/>
        <v>43773</v>
      </c>
      <c r="D39" s="46">
        <f t="shared" si="76"/>
        <v>43774</v>
      </c>
      <c r="E39" s="46">
        <f t="shared" si="77"/>
        <v>43775</v>
      </c>
      <c r="F39" s="46">
        <f t="shared" si="78"/>
        <v>43776</v>
      </c>
      <c r="G39" s="46">
        <f t="shared" si="79"/>
        <v>43777</v>
      </c>
      <c r="H39" s="47">
        <f t="shared" si="80"/>
        <v>43778</v>
      </c>
      <c r="I39" s="48">
        <f t="shared" si="81"/>
        <v>43779</v>
      </c>
      <c r="J39" s="15"/>
      <c r="K39" s="45">
        <f t="shared" si="82"/>
        <v>43801</v>
      </c>
      <c r="L39" s="46">
        <f t="shared" si="83"/>
        <v>43802</v>
      </c>
      <c r="M39" s="46">
        <f t="shared" si="84"/>
        <v>43803</v>
      </c>
      <c r="N39" s="46">
        <f t="shared" si="85"/>
        <v>43804</v>
      </c>
      <c r="O39" s="46">
        <f t="shared" si="86"/>
        <v>43805</v>
      </c>
      <c r="P39" s="47">
        <f t="shared" si="87"/>
        <v>43806</v>
      </c>
      <c r="Q39" s="48">
        <f t="shared" si="88"/>
        <v>43807</v>
      </c>
      <c r="R39" s="15"/>
      <c r="S39" s="45">
        <f t="shared" si="89"/>
        <v>43829</v>
      </c>
      <c r="T39" s="46">
        <f t="shared" si="90"/>
        <v>43830</v>
      </c>
      <c r="U39" s="46">
        <f t="shared" si="91"/>
        <v>43831</v>
      </c>
      <c r="V39" s="46">
        <f t="shared" si="92"/>
        <v>43832</v>
      </c>
      <c r="W39" s="46">
        <f t="shared" si="93"/>
        <v>43833</v>
      </c>
      <c r="X39" s="47">
        <f t="shared" si="94"/>
        <v>43834</v>
      </c>
      <c r="Y39" s="48">
        <f t="shared" si="95"/>
        <v>43835</v>
      </c>
      <c r="Z39" s="14"/>
      <c r="AA39" s="214"/>
    </row>
    <row r="40" spans="1:27" ht="8.5" customHeight="1" thickBot="1" x14ac:dyDescent="0.35">
      <c r="A40" s="15"/>
      <c r="B40" s="58"/>
      <c r="C40" s="59"/>
      <c r="D40" s="59"/>
      <c r="E40" s="59"/>
      <c r="F40" s="59"/>
      <c r="G40" s="59"/>
      <c r="H40" s="59"/>
      <c r="I40" s="59"/>
      <c r="J40" s="60"/>
      <c r="K40" s="59"/>
      <c r="L40" s="59"/>
      <c r="M40" s="59"/>
      <c r="N40" s="59"/>
      <c r="O40" s="59"/>
      <c r="P40" s="59"/>
      <c r="Q40" s="59"/>
      <c r="R40" s="60"/>
      <c r="S40" s="59"/>
      <c r="T40" s="59"/>
      <c r="U40" s="59"/>
      <c r="V40" s="59"/>
      <c r="W40" s="59"/>
      <c r="X40" s="59"/>
      <c r="Y40" s="59"/>
      <c r="Z40" s="61"/>
      <c r="AA40" s="214"/>
    </row>
    <row r="41" spans="1:27" ht="7.3" customHeight="1" x14ac:dyDescent="0.3">
      <c r="A41" s="214"/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</row>
  </sheetData>
  <sheetProtection algorithmName="SHA-512" hashValue="WQt1XJh7yrzOU175BvVVOx16yEsPK1up+1eh90gAb/SxWkY/2dDEdIMe/Wb7d9xirsIGC5KgFs0wli5yy6IPXw==" saltValue="K39UTfZqEbKOQIWPa6a7cw==" spinCount="100000" sheet="1" objects="1" scenarios="1"/>
  <mergeCells count="30">
    <mergeCell ref="A1:AA1"/>
    <mergeCell ref="AA2:AA40"/>
    <mergeCell ref="K3:Q3"/>
    <mergeCell ref="T3:X3"/>
    <mergeCell ref="C4:I4"/>
    <mergeCell ref="K4:Q4"/>
    <mergeCell ref="S4:Y4"/>
    <mergeCell ref="C5:I5"/>
    <mergeCell ref="K5:Q5"/>
    <mergeCell ref="S5:Y5"/>
    <mergeCell ref="C13:I13"/>
    <mergeCell ref="K13:Q13"/>
    <mergeCell ref="S13:Y13"/>
    <mergeCell ref="C14:I14"/>
    <mergeCell ref="K14:Q14"/>
    <mergeCell ref="S14:Y14"/>
    <mergeCell ref="D3:H3"/>
    <mergeCell ref="A41:AA41"/>
    <mergeCell ref="C31:I31"/>
    <mergeCell ref="K31:Q31"/>
    <mergeCell ref="S31:Y31"/>
    <mergeCell ref="C32:I32"/>
    <mergeCell ref="K32:Q32"/>
    <mergeCell ref="S32:Y32"/>
    <mergeCell ref="C22:I22"/>
    <mergeCell ref="K22:Q22"/>
    <mergeCell ref="S22:Y22"/>
    <mergeCell ref="C23:I23"/>
    <mergeCell ref="K23:Q23"/>
    <mergeCell ref="S23:Y23"/>
  </mergeCells>
  <conditionalFormatting sqref="C7:I7">
    <cfRule type="expression" dxfId="86" priority="24">
      <formula>DAY(C7)&gt;7</formula>
    </cfRule>
  </conditionalFormatting>
  <conditionalFormatting sqref="K7:Q7">
    <cfRule type="expression" dxfId="85" priority="23">
      <formula>DAY(K7)&gt;7</formula>
    </cfRule>
  </conditionalFormatting>
  <conditionalFormatting sqref="S7:Y7">
    <cfRule type="expression" dxfId="84" priority="22">
      <formula>DAY(S7)&gt;7</formula>
    </cfRule>
  </conditionalFormatting>
  <conditionalFormatting sqref="C11:I12">
    <cfRule type="expression" dxfId="83" priority="12">
      <formula>DAY(C11)&lt;15</formula>
    </cfRule>
  </conditionalFormatting>
  <conditionalFormatting sqref="K11:Q12">
    <cfRule type="expression" dxfId="82" priority="11">
      <formula>DAY(K11)&lt;15</formula>
    </cfRule>
  </conditionalFormatting>
  <conditionalFormatting sqref="S11:Y12">
    <cfRule type="expression" dxfId="81" priority="10">
      <formula>DAY(S11)&lt;15</formula>
    </cfRule>
  </conditionalFormatting>
  <conditionalFormatting sqref="C20:I21">
    <cfRule type="expression" dxfId="80" priority="9">
      <formula>DAY(C20)&lt;15</formula>
    </cfRule>
  </conditionalFormatting>
  <conditionalFormatting sqref="K20:Q21">
    <cfRule type="expression" dxfId="79" priority="8">
      <formula>DAY(K20)&lt;15</formula>
    </cfRule>
  </conditionalFormatting>
  <conditionalFormatting sqref="S20:Y21">
    <cfRule type="expression" dxfId="78" priority="7">
      <formula>DAY(S20)&lt;15</formula>
    </cfRule>
  </conditionalFormatting>
  <conditionalFormatting sqref="C29:I30">
    <cfRule type="expression" dxfId="77" priority="6">
      <formula>DAY(C29)&lt;15</formula>
    </cfRule>
  </conditionalFormatting>
  <conditionalFormatting sqref="K29:Q30">
    <cfRule type="expression" dxfId="76" priority="5">
      <formula>DAY(K29)&lt;15</formula>
    </cfRule>
  </conditionalFormatting>
  <conditionalFormatting sqref="S29:Y30">
    <cfRule type="expression" dxfId="75" priority="4">
      <formula>DAY(S29)&lt;15</formula>
    </cfRule>
  </conditionalFormatting>
  <conditionalFormatting sqref="C38:I39">
    <cfRule type="expression" dxfId="74" priority="3">
      <formula>DAY(C38)&lt;15</formula>
    </cfRule>
  </conditionalFormatting>
  <conditionalFormatting sqref="K38:Q39">
    <cfRule type="expression" dxfId="73" priority="2">
      <formula>DAY(K38)&lt;15</formula>
    </cfRule>
  </conditionalFormatting>
  <conditionalFormatting sqref="S38:Y39">
    <cfRule type="expression" dxfId="72" priority="1">
      <formula>DAY(S38)&lt;15</formula>
    </cfRule>
  </conditionalFormatting>
  <conditionalFormatting sqref="C16:I16">
    <cfRule type="expression" dxfId="71" priority="21">
      <formula>DAY(C16)&gt;7</formula>
    </cfRule>
  </conditionalFormatting>
  <conditionalFormatting sqref="K16:Q16">
    <cfRule type="expression" dxfId="70" priority="20">
      <formula>DAY(K16)&gt;7</formula>
    </cfRule>
  </conditionalFormatting>
  <conditionalFormatting sqref="S16:Y16">
    <cfRule type="expression" dxfId="69" priority="19">
      <formula>DAY(S16)&gt;7</formula>
    </cfRule>
  </conditionalFormatting>
  <conditionalFormatting sqref="C25:I25">
    <cfRule type="expression" dxfId="68" priority="18">
      <formula>DAY(C25)&gt;7</formula>
    </cfRule>
  </conditionalFormatting>
  <conditionalFormatting sqref="K25:Q25">
    <cfRule type="expression" dxfId="67" priority="17">
      <formula>DAY(K25)&gt;7</formula>
    </cfRule>
  </conditionalFormatting>
  <conditionalFormatting sqref="S25:Y25">
    <cfRule type="expression" dxfId="66" priority="16">
      <formula>DAY(S25)&gt;7</formula>
    </cfRule>
  </conditionalFormatting>
  <conditionalFormatting sqref="C34:I34">
    <cfRule type="expression" dxfId="65" priority="15">
      <formula>DAY(C34)&gt;7</formula>
    </cfRule>
  </conditionalFormatting>
  <conditionalFormatting sqref="K34:Q34">
    <cfRule type="expression" dxfId="64" priority="14">
      <formula>DAY(K34)&gt;7</formula>
    </cfRule>
  </conditionalFormatting>
  <conditionalFormatting sqref="S34:Y34">
    <cfRule type="expression" dxfId="63" priority="13">
      <formula>DAY(S34)&gt;7</formula>
    </cfRule>
  </conditionalFormatting>
  <conditionalFormatting sqref="C7:I12 K7:Q12 S7:Y12 C16:I21 K16:Q21 S16:Y21 C25:I30 K25:Q30 S25:Y30 C34:I39 K34:Q39 S34:Y39">
    <cfRule type="expression" dxfId="62" priority="25">
      <formula>C7=TODAY()</formula>
    </cfRule>
  </conditionalFormatting>
  <conditionalFormatting sqref="C7:I12">
    <cfRule type="expression" dxfId="61" priority="57">
      <formula>IF(AND(C7&gt;=déb_no_3,C7&lt;=fin_no_3),1,"")</formula>
    </cfRule>
    <cfRule type="expression" dxfId="60" priority="59">
      <formula>IF(AND(C7&gt;=déb_no_2,C7&lt;=fin_no_2),1,"")</formula>
    </cfRule>
    <cfRule type="expression" dxfId="59" priority="61">
      <formula>IF(AND(C7&gt;=déb_no_1,C7&lt;=fin_no_1),1,"")</formula>
    </cfRule>
  </conditionalFormatting>
  <conditionalFormatting sqref="K7:Q12">
    <cfRule type="expression" dxfId="58" priority="51">
      <formula>IF(AND(K7&gt;=déb_ca_3,K7&lt;=fin_ca_3),1,"")</formula>
    </cfRule>
    <cfRule type="expression" dxfId="57" priority="52">
      <formula>IF(AND(K7&gt;=déb_ca_2,K7&lt;=fin_ca_2),1,"")</formula>
    </cfRule>
    <cfRule type="expression" dxfId="56" priority="53">
      <formula>IF(AND(K7&gt;=déb_ca_1,K7&lt;=fin_ca_1),1,"")</formula>
    </cfRule>
  </conditionalFormatting>
  <conditionalFormatting sqref="C16:I21">
    <cfRule type="expression" dxfId="55" priority="48">
      <formula>IF(AND(C16&gt;=déb_pa_3,C16&lt;=fin_pa_3),1,"")</formula>
    </cfRule>
    <cfRule type="expression" dxfId="54" priority="49">
      <formula>IF(AND(C16&gt;=déb_pa_2,C16&lt;=fin_pa_2),1,"")</formula>
    </cfRule>
    <cfRule type="expression" dxfId="53" priority="50">
      <formula>IF(AND(C16&gt;=déb_pa_1,C16&lt;=fin_pa_1),1,"")</formula>
    </cfRule>
  </conditionalFormatting>
  <conditionalFormatting sqref="K16:Q21">
    <cfRule type="expression" dxfId="52" priority="45">
      <formula>IF(AND(K16&gt;=déb_pe_3,K16&lt;=fin_pe_3),1,"")</formula>
    </cfRule>
    <cfRule type="expression" dxfId="51" priority="46">
      <formula>IF(AND(K16&gt;=déb_pe_2,K16&lt;=fin_pe_2),1,"")</formula>
    </cfRule>
    <cfRule type="expression" dxfId="50" priority="47">
      <formula>IF(AND(K16&gt;=déb_pe_1,K16&lt;=fin_pe_1),1,"")</formula>
    </cfRule>
  </conditionalFormatting>
  <conditionalFormatting sqref="S16:Y21">
    <cfRule type="expression" dxfId="49" priority="42">
      <formula>IF(AND(S16&gt;=déb_pe_3,S16&lt;=fin_pe_3),1,"")</formula>
    </cfRule>
    <cfRule type="expression" dxfId="48" priority="43">
      <formula>IF(AND(S16&gt;=déb_pe_2,S16&lt;=fin_pe_2),1,"")</formula>
    </cfRule>
    <cfRule type="expression" dxfId="47" priority="44">
      <formula>IF(AND(S16&gt;=déb_pe_1,S16&lt;=fin_pe_1),1,"")</formula>
    </cfRule>
  </conditionalFormatting>
  <conditionalFormatting sqref="C25:I30">
    <cfRule type="expression" dxfId="46" priority="39">
      <formula>IF(AND(C25&gt;=déb_été_3,C25&lt;=fin_été_3),1,"")</formula>
    </cfRule>
    <cfRule type="expression" dxfId="45" priority="40">
      <formula>IF(AND(C25&gt;=déb_été_2,C25&lt;=fin_été_2),1,"")</formula>
    </cfRule>
    <cfRule type="expression" dxfId="44" priority="41">
      <formula>IF(AND(C25&gt;=déb_été_1,C25&lt;=fin_été_1),1,"")</formula>
    </cfRule>
  </conditionalFormatting>
  <conditionalFormatting sqref="K25:Q30">
    <cfRule type="expression" dxfId="43" priority="36">
      <formula>IF(AND(K25&gt;=déb_été_3,K25&lt;=fin_été_3),1,"")</formula>
    </cfRule>
    <cfRule type="expression" dxfId="42" priority="37">
      <formula>IF(AND(K25&gt;=déb_été_2,K25&lt;=fin_été_2),1,"")</formula>
    </cfRule>
    <cfRule type="expression" dxfId="41" priority="38">
      <formula>IF(AND(K25&gt;=déb_été_1,K25&lt;=fin_été_1),1,"")</formula>
    </cfRule>
  </conditionalFormatting>
  <conditionalFormatting sqref="S25:Y30">
    <cfRule type="expression" dxfId="40" priority="33">
      <formula>IF(AND(S25&gt;=déb_été_3,S25&lt;=fin_été_3),1,"")</formula>
    </cfRule>
    <cfRule type="expression" dxfId="39" priority="34">
      <formula>IF(AND(S25&gt;=déb_été_2,S25&lt;=fin_été_2),1,"")</formula>
    </cfRule>
    <cfRule type="expression" dxfId="38" priority="35">
      <formula>IF(AND(S25&gt;=déb_été_1,S25&lt;=fin_été_1),1,"")</formula>
    </cfRule>
  </conditionalFormatting>
  <conditionalFormatting sqref="C34:I39">
    <cfRule type="expression" dxfId="37" priority="30">
      <formula>IF(AND(C34&gt;=déb_to_3,C34&lt;=fin_to_3),1,"")</formula>
    </cfRule>
    <cfRule type="expression" dxfId="36" priority="31">
      <formula>IF(AND(C34&gt;=déb_to_2,C34&lt;=fin_to_2),1,"")</formula>
    </cfRule>
    <cfRule type="expression" dxfId="35" priority="32">
      <formula>IF(AND(C34&gt;=déb_to_1,C34&lt;=fin_to_1),1,"")</formula>
    </cfRule>
  </conditionalFormatting>
  <conditionalFormatting sqref="K34:Q39">
    <cfRule type="expression" dxfId="34" priority="27">
      <formula>IF(AND(K34&gt;=déb_to_3,K34&lt;=fin_to_3),1,"")</formula>
    </cfRule>
    <cfRule type="expression" dxfId="33" priority="28">
      <formula>IF(AND(K34&gt;=déb_to_2,K34&lt;=fin_to_2),1,"")</formula>
    </cfRule>
    <cfRule type="expression" dxfId="32" priority="29">
      <formula>IF(AND(K34&gt;=déb_to_1,K34&lt;=fin_to_1),1,"")</formula>
    </cfRule>
  </conditionalFormatting>
  <conditionalFormatting sqref="S34:Y39">
    <cfRule type="expression" dxfId="31" priority="54">
      <formula>IF(AND(S34&gt;=déb_no_3,S34&lt;=fin_no_3),1,"")</formula>
    </cfRule>
    <cfRule type="expression" dxfId="30" priority="55">
      <formula>IF(AND(S34&gt;=déb_no_2,S34&lt;=fin_no_2),1,"")</formula>
    </cfRule>
    <cfRule type="expression" dxfId="29" priority="56">
      <formula>IF(AND(S34&gt;=déb_no_1,S34&lt;=fin_no_1),1,"")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6" id="{9C3CE92B-96AC-495A-AFEC-AB76E06FB822}">
            <xm:f>VLOOKUP(C7,'Jours fériés'!$AE$7:$AE$17,1,FALSE)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D761-0CB2-43B8-930E-45FC187D44EA}">
  <sheetPr>
    <tabColor theme="9" tint="0.59999389629810485"/>
  </sheetPr>
  <dimension ref="A2:AE107"/>
  <sheetViews>
    <sheetView topLeftCell="B1" workbookViewId="0">
      <selection activeCell="K10" sqref="K10"/>
    </sheetView>
  </sheetViews>
  <sheetFormatPr baseColWidth="10" defaultRowHeight="14.55" x14ac:dyDescent="0.3"/>
  <cols>
    <col min="1" max="1" width="2.6640625" style="1" customWidth="1"/>
    <col min="2" max="3" width="11.5546875" style="1"/>
    <col min="4" max="7" width="11.5546875" style="1" customWidth="1"/>
    <col min="8" max="8" width="11.5546875" style="1"/>
    <col min="9" max="9" width="6.6640625" style="1" customWidth="1"/>
    <col min="10" max="10" width="11.44140625" style="1" customWidth="1"/>
    <col min="11" max="11" width="12" style="1" customWidth="1"/>
    <col min="12" max="12" width="2.6640625" style="1" customWidth="1"/>
    <col min="13" max="13" width="11.5546875" style="1"/>
    <col min="14" max="14" width="6.6640625" style="1" customWidth="1"/>
    <col min="15" max="15" width="11.44140625" style="1" customWidth="1"/>
    <col min="16" max="16" width="12" style="1" customWidth="1"/>
    <col min="17" max="17" width="2.6640625" style="1" customWidth="1"/>
    <col min="18" max="18" width="11.5546875" style="1"/>
    <col min="19" max="19" width="8.88671875" style="1" customWidth="1"/>
    <col min="20" max="20" width="11.44140625" style="1" customWidth="1"/>
    <col min="21" max="21" width="12" style="1" customWidth="1"/>
    <col min="22" max="22" width="2.6640625" style="1" customWidth="1"/>
    <col min="23" max="26" width="11.109375" style="1" customWidth="1"/>
    <col min="27" max="27" width="2.6640625" style="1" customWidth="1"/>
    <col min="28" max="16384" width="11.5546875" style="1"/>
  </cols>
  <sheetData>
    <row r="2" spans="2:31" x14ac:dyDescent="0.3">
      <c r="C2" s="20" t="s">
        <v>61</v>
      </c>
      <c r="D2" s="20" t="s">
        <v>62</v>
      </c>
      <c r="E2" s="20" t="s">
        <v>67</v>
      </c>
      <c r="F2" s="20" t="s">
        <v>64</v>
      </c>
      <c r="G2" s="20" t="s">
        <v>65</v>
      </c>
      <c r="H2" s="20" t="s">
        <v>66</v>
      </c>
      <c r="I2" s="20"/>
      <c r="J2" s="20" t="s">
        <v>63</v>
      </c>
      <c r="S2" s="20" t="s">
        <v>61</v>
      </c>
      <c r="T2" s="20" t="s">
        <v>62</v>
      </c>
      <c r="U2" s="20" t="s">
        <v>67</v>
      </c>
      <c r="W2" s="20" t="s">
        <v>64</v>
      </c>
      <c r="X2" s="20" t="s">
        <v>65</v>
      </c>
      <c r="Y2" s="20" t="s">
        <v>66</v>
      </c>
      <c r="Z2" s="20" t="s">
        <v>63</v>
      </c>
      <c r="AB2" s="236" t="s">
        <v>133</v>
      </c>
      <c r="AC2" s="236"/>
      <c r="AD2" s="236"/>
      <c r="AE2" s="236"/>
    </row>
    <row r="3" spans="2:31" ht="15.75" x14ac:dyDescent="0.3">
      <c r="B3" s="62" t="s">
        <v>2</v>
      </c>
      <c r="C3" s="64">
        <f>Anopri</f>
        <v>2019</v>
      </c>
      <c r="D3" s="128">
        <f>Anolu</f>
        <v>2019</v>
      </c>
      <c r="E3" s="128">
        <f>Anobe</f>
        <v>2019</v>
      </c>
      <c r="F3" s="128">
        <f>Anofr</f>
        <v>2019</v>
      </c>
      <c r="G3" s="128">
        <f>Anoall</f>
        <v>2019</v>
      </c>
      <c r="H3" s="128">
        <f>Anopt</f>
        <v>2019</v>
      </c>
      <c r="I3" s="128"/>
      <c r="J3" s="128">
        <f>Anovaclu</f>
        <v>2019</v>
      </c>
      <c r="R3" s="62" t="s">
        <v>2</v>
      </c>
      <c r="S3" s="64">
        <f>Anopri</f>
        <v>2019</v>
      </c>
      <c r="T3" s="128">
        <f>Anolu</f>
        <v>2019</v>
      </c>
      <c r="U3" s="128">
        <f>Anobe</f>
        <v>2019</v>
      </c>
      <c r="V3" s="129"/>
      <c r="W3" s="128">
        <f>Anofr</f>
        <v>2019</v>
      </c>
      <c r="X3" s="128">
        <f>Anoall</f>
        <v>2019</v>
      </c>
      <c r="Y3" s="128">
        <f>Anopt</f>
        <v>2019</v>
      </c>
      <c r="Z3" s="128">
        <f>Anovaclu</f>
        <v>2019</v>
      </c>
      <c r="AB3" s="236" t="s">
        <v>134</v>
      </c>
      <c r="AC3" s="236"/>
      <c r="AD3" s="236"/>
      <c r="AE3" s="236"/>
    </row>
    <row r="4" spans="2:31" ht="16.350000000000001" thickBot="1" x14ac:dyDescent="0.35">
      <c r="B4" s="62"/>
      <c r="C4" s="63"/>
    </row>
    <row r="5" spans="2:31" ht="19.399999999999999" customHeight="1" thickBot="1" x14ac:dyDescent="0.35">
      <c r="B5" s="62"/>
      <c r="C5" s="257" t="s">
        <v>3</v>
      </c>
      <c r="D5" s="258"/>
      <c r="E5" s="258"/>
      <c r="F5" s="259"/>
      <c r="H5" s="257" t="s">
        <v>4</v>
      </c>
      <c r="I5" s="258"/>
      <c r="J5" s="258"/>
      <c r="K5" s="259"/>
      <c r="M5" s="257" t="s">
        <v>5</v>
      </c>
      <c r="N5" s="258"/>
      <c r="O5" s="258"/>
      <c r="P5" s="259"/>
      <c r="R5" s="257" t="s">
        <v>6</v>
      </c>
      <c r="S5" s="258"/>
      <c r="T5" s="258"/>
      <c r="U5" s="259"/>
      <c r="W5" s="257" t="s">
        <v>7</v>
      </c>
      <c r="X5" s="258"/>
      <c r="Y5" s="258"/>
      <c r="Z5" s="259"/>
      <c r="AB5" s="257" t="s">
        <v>3</v>
      </c>
      <c r="AC5" s="258"/>
      <c r="AD5" s="258"/>
      <c r="AE5" s="259"/>
    </row>
    <row r="6" spans="2:31" ht="4.25" customHeight="1" thickBot="1" x14ac:dyDescent="0.35">
      <c r="C6" s="248"/>
      <c r="D6" s="249"/>
      <c r="E6" s="249"/>
      <c r="F6" s="250"/>
      <c r="H6" s="248"/>
      <c r="I6" s="249"/>
      <c r="J6" s="249"/>
      <c r="K6" s="250"/>
      <c r="M6" s="251"/>
      <c r="N6" s="252"/>
      <c r="O6" s="252"/>
      <c r="P6" s="253"/>
      <c r="R6" s="248"/>
      <c r="S6" s="249"/>
      <c r="T6" s="249"/>
      <c r="U6" s="250"/>
      <c r="W6" s="254"/>
      <c r="X6" s="255"/>
      <c r="Y6" s="255"/>
      <c r="Z6" s="256"/>
      <c r="AB6" s="248"/>
      <c r="AC6" s="249"/>
      <c r="AD6" s="249"/>
      <c r="AE6" s="250"/>
    </row>
    <row r="7" spans="2:31" ht="15.75" customHeight="1" x14ac:dyDescent="0.3">
      <c r="C7" s="262" t="s">
        <v>8</v>
      </c>
      <c r="D7" s="263"/>
      <c r="E7" s="151" t="str">
        <f>CHOOSE(WEEKDAY(F7,2),"lundi","mardi","mercredi","jeudi","vendredi","samedi","dimanche")</f>
        <v>mardi</v>
      </c>
      <c r="F7" s="134">
        <f>DATE(Anolu,1,1)</f>
        <v>43466</v>
      </c>
      <c r="G7" s="66"/>
      <c r="H7" s="262" t="s">
        <v>8</v>
      </c>
      <c r="I7" s="263"/>
      <c r="J7" s="151" t="str">
        <f>CHOOSE(WEEKDAY(K7,2),"lundi","mardi","mercredi","jeudi","vendredi","samedi","dimanche")</f>
        <v>mardi</v>
      </c>
      <c r="K7" s="134">
        <f>DATE(Anofr,1,1)</f>
        <v>43466</v>
      </c>
      <c r="M7" s="264" t="s">
        <v>8</v>
      </c>
      <c r="N7" s="265"/>
      <c r="O7" s="150" t="str">
        <f>CHOOSE(WEEKDAY(P7,2),"lundi","mardi","mercredi","jeudi","vendredi","samedi","dimanche")</f>
        <v>mardi</v>
      </c>
      <c r="P7" s="154">
        <f>DATE(Anobe,1,1)</f>
        <v>43466</v>
      </c>
      <c r="R7" s="262" t="s">
        <v>9</v>
      </c>
      <c r="S7" s="263"/>
      <c r="T7" s="156" t="str">
        <f>CHOOSE(WEEKDAY(U7,2),"lundi","mardi","mercredi","jeudi","vendredi","samedi","dimanche")</f>
        <v>mardi</v>
      </c>
      <c r="U7" s="134">
        <f>DATE(Anopt,1,1)</f>
        <v>43466</v>
      </c>
      <c r="W7" s="262" t="s">
        <v>8</v>
      </c>
      <c r="X7" s="263"/>
      <c r="Y7" s="156" t="str">
        <f>CHOOSE(WEEKDAY(Z7,2),"lundi","mardi","mercredi","jeudi","vendredi","samedi","dimanche")</f>
        <v>mardi</v>
      </c>
      <c r="Z7" s="134">
        <f>DATE(Anoall,1,1)</f>
        <v>43466</v>
      </c>
      <c r="AB7" s="262" t="s">
        <v>8</v>
      </c>
      <c r="AC7" s="263"/>
      <c r="AD7" s="151" t="str">
        <f>CHOOSE(WEEKDAY(AE7,2),"lundi","mardi","mercredi","jeudi","vendredi","samedi","dimanche")</f>
        <v>mardi</v>
      </c>
      <c r="AE7" s="134">
        <f>DATE(Anovaclu,1,1)</f>
        <v>43466</v>
      </c>
    </row>
    <row r="8" spans="2:31" ht="15.75" customHeight="1" x14ac:dyDescent="0.3">
      <c r="C8" s="239" t="s">
        <v>10</v>
      </c>
      <c r="D8" s="240"/>
      <c r="E8" s="153" t="str">
        <f t="shared" ref="E8:E17" si="0">CHOOSE(WEEKDAY(F8,2),"lundi","mardi","mercredi","jeudi","vendredi","samedi","dimanche")</f>
        <v>lundi</v>
      </c>
      <c r="F8" s="135">
        <f>F23+1</f>
        <v>43577</v>
      </c>
      <c r="G8" s="66"/>
      <c r="H8" s="239" t="s">
        <v>10</v>
      </c>
      <c r="I8" s="240"/>
      <c r="J8" s="137" t="str">
        <f>CHOOSE(WEEKDAY(K8,2),"lundi","mardi","mercredi","jeudi","vendredi","samedi","dimanche")</f>
        <v>lundi</v>
      </c>
      <c r="K8" s="135">
        <f>K23+1</f>
        <v>43577</v>
      </c>
      <c r="M8" s="239" t="s">
        <v>10</v>
      </c>
      <c r="N8" s="240"/>
      <c r="O8" s="137" t="str">
        <f>CHOOSE(WEEKDAY(P8,2),"lundi","mardi","mercredi","jeudi","vendredi","samedi","dimanche")</f>
        <v>lundi</v>
      </c>
      <c r="P8" s="135">
        <f>P23+1</f>
        <v>43577</v>
      </c>
      <c r="R8" s="241" t="s">
        <v>11</v>
      </c>
      <c r="S8" s="242"/>
      <c r="T8" s="138" t="str">
        <f>CHOOSE(WEEKDAY(U8,2),"lundi","mardi","mercredi","jeudi","vendredi","samedi","dimanche")</f>
        <v>mardi</v>
      </c>
      <c r="U8" s="136">
        <f>U23-47</f>
        <v>43529</v>
      </c>
      <c r="W8" s="260" t="s">
        <v>12</v>
      </c>
      <c r="X8" s="261"/>
      <c r="Y8" s="138" t="str">
        <f>CHOOSE(WEEKDAY(Z8,2),"lundi","mardi","mercredi","jeudi","vendredi","samedi","dimanche")</f>
        <v>vendredi</v>
      </c>
      <c r="Z8" s="136">
        <f>Z23-2</f>
        <v>43574</v>
      </c>
      <c r="AB8" s="239" t="s">
        <v>10</v>
      </c>
      <c r="AC8" s="240"/>
      <c r="AD8" s="137" t="str">
        <f>CHOOSE(WEEKDAY(AE8,2),"lundi","mardi","mercredi","jeudi","vendredi","samedi","dimanche")</f>
        <v>lundi</v>
      </c>
      <c r="AE8" s="135">
        <f>AE23+1</f>
        <v>43577</v>
      </c>
    </row>
    <row r="9" spans="2:31" ht="15.75" customHeight="1" x14ac:dyDescent="0.3">
      <c r="C9" s="239" t="s">
        <v>13</v>
      </c>
      <c r="D9" s="240"/>
      <c r="E9" s="153" t="str">
        <f t="shared" si="0"/>
        <v>mercredi</v>
      </c>
      <c r="F9" s="135">
        <f>DATE(Anolu,5,1)</f>
        <v>43586</v>
      </c>
      <c r="G9" s="66"/>
      <c r="H9" s="239" t="s">
        <v>13</v>
      </c>
      <c r="I9" s="240"/>
      <c r="J9" s="137" t="str">
        <f t="shared" ref="J9:J17" si="1">CHOOSE(WEEKDAY(K9,2),"lundi","mardi","mercredi","jeudi","vendredi","samedi","dimanche")</f>
        <v>mercredi</v>
      </c>
      <c r="K9" s="135">
        <f>DATE(Anofr,5,1)</f>
        <v>43586</v>
      </c>
      <c r="M9" s="239" t="s">
        <v>13</v>
      </c>
      <c r="N9" s="240"/>
      <c r="O9" s="137" t="str">
        <f t="shared" ref="O9:O16" si="2">CHOOSE(WEEKDAY(P9,2),"lundi","mardi","mercredi","jeudi","vendredi","samedi","dimanche")</f>
        <v>mercredi</v>
      </c>
      <c r="P9" s="135">
        <f>DATE(Anobe,5,1)</f>
        <v>43586</v>
      </c>
      <c r="R9" s="239" t="s">
        <v>14</v>
      </c>
      <c r="S9" s="240"/>
      <c r="T9" s="138" t="str">
        <f t="shared" ref="T9:T19" si="3">CHOOSE(WEEKDAY(U9,2),"lundi","mardi","mercredi","jeudi","vendredi","samedi","dimanche")</f>
        <v>vendredi</v>
      </c>
      <c r="U9" s="135">
        <f>U23-2</f>
        <v>43574</v>
      </c>
      <c r="W9" s="239" t="s">
        <v>10</v>
      </c>
      <c r="X9" s="240"/>
      <c r="Y9" s="138" t="str">
        <f t="shared" ref="Y9:Y12" si="4">CHOOSE(WEEKDAY(Z9,2),"lundi","mardi","mercredi","jeudi","vendredi","samedi","dimanche")</f>
        <v>lundi</v>
      </c>
      <c r="Z9" s="135">
        <f>Z23+1</f>
        <v>43577</v>
      </c>
      <c r="AB9" s="239" t="s">
        <v>13</v>
      </c>
      <c r="AC9" s="240"/>
      <c r="AD9" s="137" t="str">
        <f t="shared" ref="AD9:AD17" si="5">CHOOSE(WEEKDAY(AE9,2),"lundi","mardi","mercredi","jeudi","vendredi","samedi","dimanche")</f>
        <v>mercredi</v>
      </c>
      <c r="AE9" s="135">
        <f>DATE(Anovaclu,5,1)</f>
        <v>43586</v>
      </c>
    </row>
    <row r="10" spans="2:31" ht="15.75" customHeight="1" x14ac:dyDescent="0.3">
      <c r="C10" s="260" t="s">
        <v>112</v>
      </c>
      <c r="D10" s="261"/>
      <c r="E10" s="153" t="str">
        <f t="shared" si="0"/>
        <v>jeudi</v>
      </c>
      <c r="F10" s="136">
        <f>DATE(Anolu,5,9)</f>
        <v>43594</v>
      </c>
      <c r="G10" s="66"/>
      <c r="H10" s="239" t="s">
        <v>15</v>
      </c>
      <c r="I10" s="240"/>
      <c r="J10" s="137" t="str">
        <f t="shared" si="1"/>
        <v>mercredi</v>
      </c>
      <c r="K10" s="135">
        <f>DATE(Anofr,5,8)</f>
        <v>43593</v>
      </c>
      <c r="M10" s="239" t="s">
        <v>16</v>
      </c>
      <c r="N10" s="240"/>
      <c r="O10" s="137" t="str">
        <f t="shared" si="2"/>
        <v>jeudi</v>
      </c>
      <c r="P10" s="135">
        <f>P23+39</f>
        <v>43615</v>
      </c>
      <c r="R10" s="241" t="s">
        <v>17</v>
      </c>
      <c r="S10" s="242"/>
      <c r="T10" s="138" t="str">
        <f t="shared" si="3"/>
        <v>jeudi</v>
      </c>
      <c r="U10" s="136">
        <f>DATE(Anopt,4,25)</f>
        <v>43580</v>
      </c>
      <c r="W10" s="239" t="s">
        <v>13</v>
      </c>
      <c r="X10" s="240"/>
      <c r="Y10" s="138" t="str">
        <f t="shared" si="4"/>
        <v>mercredi</v>
      </c>
      <c r="Z10" s="135">
        <f>DATE(Anoall,5,1)</f>
        <v>43586</v>
      </c>
      <c r="AB10" s="260" t="s">
        <v>112</v>
      </c>
      <c r="AC10" s="261"/>
      <c r="AD10" s="137" t="str">
        <f t="shared" si="5"/>
        <v>jeudi</v>
      </c>
      <c r="AE10" s="136">
        <f>DATE(Anovaclu,5,9)</f>
        <v>43594</v>
      </c>
    </row>
    <row r="11" spans="2:31" ht="15.75" customHeight="1" x14ac:dyDescent="0.3">
      <c r="C11" s="239" t="s">
        <v>16</v>
      </c>
      <c r="D11" s="240"/>
      <c r="E11" s="153" t="str">
        <f t="shared" si="0"/>
        <v>jeudi</v>
      </c>
      <c r="F11" s="135">
        <f>F23+39</f>
        <v>43615</v>
      </c>
      <c r="G11" s="66"/>
      <c r="H11" s="239" t="s">
        <v>16</v>
      </c>
      <c r="I11" s="240"/>
      <c r="J11" s="137" t="str">
        <f t="shared" si="1"/>
        <v>jeudi</v>
      </c>
      <c r="K11" s="135">
        <f>K23+39</f>
        <v>43615</v>
      </c>
      <c r="M11" s="239" t="s">
        <v>18</v>
      </c>
      <c r="N11" s="240"/>
      <c r="O11" s="137" t="str">
        <f t="shared" si="2"/>
        <v>lundi</v>
      </c>
      <c r="P11" s="135">
        <f>P23+50</f>
        <v>43626</v>
      </c>
      <c r="R11" s="239" t="s">
        <v>19</v>
      </c>
      <c r="S11" s="240"/>
      <c r="T11" s="138" t="str">
        <f t="shared" si="3"/>
        <v>mercredi</v>
      </c>
      <c r="U11" s="135">
        <f>DATE(Anopt,5,1)</f>
        <v>43586</v>
      </c>
      <c r="W11" s="239" t="s">
        <v>16</v>
      </c>
      <c r="X11" s="240"/>
      <c r="Y11" s="138" t="str">
        <f t="shared" si="4"/>
        <v>jeudi</v>
      </c>
      <c r="Z11" s="135">
        <f>Z23+39</f>
        <v>43615</v>
      </c>
      <c r="AB11" s="239" t="s">
        <v>16</v>
      </c>
      <c r="AC11" s="240"/>
      <c r="AD11" s="137" t="str">
        <f t="shared" si="5"/>
        <v>jeudi</v>
      </c>
      <c r="AE11" s="135">
        <f>AE23+39</f>
        <v>43615</v>
      </c>
    </row>
    <row r="12" spans="2:31" ht="15.75" customHeight="1" x14ac:dyDescent="0.3">
      <c r="C12" s="239" t="s">
        <v>18</v>
      </c>
      <c r="D12" s="240"/>
      <c r="E12" s="152" t="str">
        <f t="shared" si="0"/>
        <v>lundi</v>
      </c>
      <c r="F12" s="135">
        <f>F23+50</f>
        <v>43626</v>
      </c>
      <c r="G12" s="66"/>
      <c r="H12" s="239" t="s">
        <v>18</v>
      </c>
      <c r="I12" s="240"/>
      <c r="J12" s="137" t="str">
        <f t="shared" si="1"/>
        <v>lundi</v>
      </c>
      <c r="K12" s="135">
        <f>K23+50</f>
        <v>43626</v>
      </c>
      <c r="M12" s="239" t="s">
        <v>20</v>
      </c>
      <c r="N12" s="240"/>
      <c r="O12" s="137" t="str">
        <f t="shared" si="2"/>
        <v>dimanche</v>
      </c>
      <c r="P12" s="135">
        <f>DATE(Anobe,7,21)</f>
        <v>43667</v>
      </c>
      <c r="R12" s="241" t="s">
        <v>21</v>
      </c>
      <c r="S12" s="242"/>
      <c r="T12" s="138" t="str">
        <f t="shared" si="3"/>
        <v>jeudi</v>
      </c>
      <c r="U12" s="136">
        <f>U23+60</f>
        <v>43636</v>
      </c>
      <c r="W12" s="239" t="s">
        <v>18</v>
      </c>
      <c r="X12" s="240"/>
      <c r="Y12" s="138" t="str">
        <f t="shared" si="4"/>
        <v>lundi</v>
      </c>
      <c r="Z12" s="135">
        <f>Z23+50</f>
        <v>43626</v>
      </c>
      <c r="AB12" s="239" t="s">
        <v>18</v>
      </c>
      <c r="AC12" s="240"/>
      <c r="AD12" s="137" t="str">
        <f t="shared" si="5"/>
        <v>lundi</v>
      </c>
      <c r="AE12" s="135">
        <f>AE23+50</f>
        <v>43626</v>
      </c>
    </row>
    <row r="13" spans="2:31" ht="15.75" customHeight="1" x14ac:dyDescent="0.3">
      <c r="C13" s="239" t="s">
        <v>20</v>
      </c>
      <c r="D13" s="240"/>
      <c r="E13" s="153" t="str">
        <f t="shared" si="0"/>
        <v>dimanche</v>
      </c>
      <c r="F13" s="135">
        <f>DATE(Anolu,6,23)</f>
        <v>43639</v>
      </c>
      <c r="G13" s="66"/>
      <c r="H13" s="239" t="s">
        <v>20</v>
      </c>
      <c r="I13" s="240"/>
      <c r="J13" s="137" t="str">
        <f t="shared" si="1"/>
        <v>dimanche</v>
      </c>
      <c r="K13" s="135">
        <f>DATE(Anofr,7,14)</f>
        <v>43660</v>
      </c>
      <c r="M13" s="239" t="s">
        <v>22</v>
      </c>
      <c r="N13" s="240"/>
      <c r="O13" s="137" t="str">
        <f t="shared" si="2"/>
        <v>jeudi</v>
      </c>
      <c r="P13" s="135">
        <f>DATE(Anobe,8,15)</f>
        <v>43692</v>
      </c>
      <c r="R13" s="239" t="s">
        <v>23</v>
      </c>
      <c r="S13" s="240"/>
      <c r="T13" s="138" t="str">
        <f t="shared" si="3"/>
        <v>lundi</v>
      </c>
      <c r="U13" s="135">
        <f>DATE(Anopt,6,10)</f>
        <v>43626</v>
      </c>
      <c r="W13" s="243" t="s">
        <v>121</v>
      </c>
      <c r="X13" s="244"/>
      <c r="Y13" s="163" t="str">
        <f>CHOOSE(WEEKDAY(Z13,2),"lundi","mardi","mercredi","jeudi","vendredi","samedi","dimanche")</f>
        <v>jeudi</v>
      </c>
      <c r="Z13" s="162">
        <f>Z23+60</f>
        <v>43636</v>
      </c>
      <c r="AA13" s="161"/>
      <c r="AB13" s="239" t="s">
        <v>20</v>
      </c>
      <c r="AC13" s="240"/>
      <c r="AD13" s="137" t="str">
        <f t="shared" si="5"/>
        <v>dimanche</v>
      </c>
      <c r="AE13" s="135">
        <f>DATE(Anovaclu,6,23)</f>
        <v>43639</v>
      </c>
    </row>
    <row r="14" spans="2:31" ht="15.75" customHeight="1" x14ac:dyDescent="0.3">
      <c r="C14" s="239" t="s">
        <v>22</v>
      </c>
      <c r="D14" s="240"/>
      <c r="E14" s="153" t="str">
        <f t="shared" si="0"/>
        <v>jeudi</v>
      </c>
      <c r="F14" s="135">
        <f>DATE(Anolu,8,15)</f>
        <v>43692</v>
      </c>
      <c r="G14" s="66"/>
      <c r="H14" s="239" t="s">
        <v>22</v>
      </c>
      <c r="I14" s="240"/>
      <c r="J14" s="137" t="str">
        <f t="shared" si="1"/>
        <v>jeudi</v>
      </c>
      <c r="K14" s="135">
        <f>DATE(Anofr,8,15)</f>
        <v>43692</v>
      </c>
      <c r="M14" s="239" t="s">
        <v>24</v>
      </c>
      <c r="N14" s="240"/>
      <c r="O14" s="137" t="str">
        <f t="shared" si="2"/>
        <v>vendredi</v>
      </c>
      <c r="P14" s="135">
        <f>DATE(Anobe,11,1)</f>
        <v>43770</v>
      </c>
      <c r="R14" s="239" t="s">
        <v>25</v>
      </c>
      <c r="S14" s="240"/>
      <c r="T14" s="138" t="str">
        <f t="shared" si="3"/>
        <v>jeudi</v>
      </c>
      <c r="U14" s="135">
        <f>DATE(Anopt,8,15)</f>
        <v>43692</v>
      </c>
      <c r="W14" s="239" t="s">
        <v>111</v>
      </c>
      <c r="X14" s="240"/>
      <c r="Y14" s="138" t="str">
        <f>CHOOSE(WEEKDAY(Z14,2),"lundi","mardi","mercredi","jeudi","vendredi","samedi","dimanche")</f>
        <v>jeudi</v>
      </c>
      <c r="Z14" s="135">
        <f>DATE(Anoall,10,3)</f>
        <v>43741</v>
      </c>
      <c r="AB14" s="239" t="s">
        <v>22</v>
      </c>
      <c r="AC14" s="240"/>
      <c r="AD14" s="137" t="str">
        <f t="shared" si="5"/>
        <v>jeudi</v>
      </c>
      <c r="AE14" s="135">
        <f>DATE(Anovaclu,8,15)</f>
        <v>43692</v>
      </c>
    </row>
    <row r="15" spans="2:31" ht="16.350000000000001" customHeight="1" x14ac:dyDescent="0.3">
      <c r="C15" s="239" t="s">
        <v>24</v>
      </c>
      <c r="D15" s="240"/>
      <c r="E15" s="153" t="str">
        <f t="shared" si="0"/>
        <v>vendredi</v>
      </c>
      <c r="F15" s="135">
        <f>DATE(Anolu,11,1)</f>
        <v>43770</v>
      </c>
      <c r="G15" s="66"/>
      <c r="H15" s="239" t="s">
        <v>24</v>
      </c>
      <c r="I15" s="240"/>
      <c r="J15" s="137" t="str">
        <f t="shared" si="1"/>
        <v>vendredi</v>
      </c>
      <c r="K15" s="135">
        <f>DATE(Anofr,11,1)</f>
        <v>43770</v>
      </c>
      <c r="M15" s="239" t="s">
        <v>27</v>
      </c>
      <c r="N15" s="240"/>
      <c r="O15" s="137" t="str">
        <f t="shared" si="2"/>
        <v>lundi</v>
      </c>
      <c r="P15" s="135">
        <f>DATE(Anobe,11,11)</f>
        <v>43780</v>
      </c>
      <c r="R15" s="241" t="s">
        <v>28</v>
      </c>
      <c r="S15" s="242"/>
      <c r="T15" s="138" t="str">
        <f t="shared" si="3"/>
        <v>samedi</v>
      </c>
      <c r="U15" s="136">
        <f>DATE(Anopt,10,5)</f>
        <v>43743</v>
      </c>
      <c r="W15" s="243" t="s">
        <v>24</v>
      </c>
      <c r="X15" s="244"/>
      <c r="Y15" s="163" t="str">
        <f>CHOOSE(WEEKDAY(Z15,2),"lundi","mardi","mercredi","jeudi","vendredi","samedi","dimanche")</f>
        <v>vendredi</v>
      </c>
      <c r="Z15" s="160">
        <f>DATE(Anoall,11,1)</f>
        <v>43770</v>
      </c>
      <c r="AA15" s="161"/>
      <c r="AB15" s="239" t="s">
        <v>24</v>
      </c>
      <c r="AC15" s="240"/>
      <c r="AD15" s="137" t="str">
        <f t="shared" si="5"/>
        <v>vendredi</v>
      </c>
      <c r="AE15" s="135">
        <f>DATE(Anovaclu,11,1)</f>
        <v>43770</v>
      </c>
    </row>
    <row r="16" spans="2:31" ht="15.75" customHeight="1" thickBot="1" x14ac:dyDescent="0.35">
      <c r="C16" s="239" t="s">
        <v>26</v>
      </c>
      <c r="D16" s="240"/>
      <c r="E16" s="152" t="str">
        <f t="shared" si="0"/>
        <v>mercredi</v>
      </c>
      <c r="F16" s="135">
        <f>DATE(Anolu,12,25)</f>
        <v>43824</v>
      </c>
      <c r="G16" s="67"/>
      <c r="H16" s="239" t="s">
        <v>27</v>
      </c>
      <c r="I16" s="240"/>
      <c r="J16" s="137" t="str">
        <f t="shared" si="1"/>
        <v>lundi</v>
      </c>
      <c r="K16" s="135">
        <f>DATE(Anofr,11,11)</f>
        <v>43780</v>
      </c>
      <c r="M16" s="282" t="s">
        <v>26</v>
      </c>
      <c r="N16" s="283"/>
      <c r="O16" s="155" t="str">
        <f t="shared" si="2"/>
        <v>mercredi</v>
      </c>
      <c r="P16" s="68">
        <f>DATE(Anobe,12,25)</f>
        <v>43824</v>
      </c>
      <c r="R16" s="239" t="s">
        <v>30</v>
      </c>
      <c r="S16" s="240"/>
      <c r="T16" s="138" t="str">
        <f t="shared" si="3"/>
        <v>vendredi</v>
      </c>
      <c r="U16" s="135">
        <f>DATE(Anopt,11,1)</f>
        <v>43770</v>
      </c>
      <c r="W16" s="239" t="s">
        <v>26</v>
      </c>
      <c r="X16" s="240"/>
      <c r="Y16" s="138" t="str">
        <f>CHOOSE(WEEKDAY(Z16,2),"lundi","mardi","mercredi","jeudi","vendredi","samedi","dimanche")</f>
        <v>mercredi</v>
      </c>
      <c r="Z16" s="135">
        <f>DATE(Anoall,12,25)</f>
        <v>43824</v>
      </c>
      <c r="AB16" s="239" t="s">
        <v>26</v>
      </c>
      <c r="AC16" s="240"/>
      <c r="AD16" s="137" t="str">
        <f t="shared" si="5"/>
        <v>mercredi</v>
      </c>
      <c r="AE16" s="135">
        <f>DATE(Anovaclu,12,25)</f>
        <v>43824</v>
      </c>
    </row>
    <row r="17" spans="1:31" ht="15.75" customHeight="1" thickBot="1" x14ac:dyDescent="0.35">
      <c r="C17" s="282" t="s">
        <v>29</v>
      </c>
      <c r="D17" s="283"/>
      <c r="E17" s="150" t="str">
        <f t="shared" si="0"/>
        <v>jeudi</v>
      </c>
      <c r="F17" s="68">
        <f>F16+1</f>
        <v>43825</v>
      </c>
      <c r="G17" s="67"/>
      <c r="H17" s="282" t="s">
        <v>26</v>
      </c>
      <c r="I17" s="283"/>
      <c r="J17" s="155" t="str">
        <f t="shared" si="1"/>
        <v>mercredi</v>
      </c>
      <c r="K17" s="68">
        <f>DATE(Anofr,12,25)</f>
        <v>43824</v>
      </c>
      <c r="O17" s="69"/>
      <c r="R17" s="239" t="s">
        <v>31</v>
      </c>
      <c r="S17" s="240"/>
      <c r="T17" s="138" t="str">
        <f t="shared" si="3"/>
        <v>dimanche</v>
      </c>
      <c r="U17" s="135">
        <f>DATE(Anopt,12,1)</f>
        <v>43800</v>
      </c>
      <c r="W17" s="237" t="s">
        <v>29</v>
      </c>
      <c r="X17" s="238"/>
      <c r="Y17" s="157" t="str">
        <f>CHOOSE(WEEKDAY(Z17,2),"lundi","mardi","mercredi","jeudi","vendredi","samedi","dimanche")</f>
        <v>jeudi</v>
      </c>
      <c r="Z17" s="68">
        <f>Z16+1</f>
        <v>43825</v>
      </c>
      <c r="AB17" s="282" t="s">
        <v>29</v>
      </c>
      <c r="AC17" s="283"/>
      <c r="AD17" s="137" t="str">
        <f t="shared" si="5"/>
        <v>jeudi</v>
      </c>
      <c r="AE17" s="130">
        <f>AE16+1</f>
        <v>43825</v>
      </c>
    </row>
    <row r="18" spans="1:31" ht="15.75" customHeight="1" x14ac:dyDescent="0.3">
      <c r="D18" s="69"/>
      <c r="E18" s="69"/>
      <c r="F18" s="69"/>
      <c r="G18" s="66"/>
      <c r="H18" s="69"/>
      <c r="I18" s="69"/>
      <c r="J18" s="69"/>
      <c r="R18" s="241" t="s">
        <v>32</v>
      </c>
      <c r="S18" s="242"/>
      <c r="T18" s="138" t="str">
        <f t="shared" si="3"/>
        <v>dimanche</v>
      </c>
      <c r="U18" s="136">
        <f>DATE(Anopt,12,8)</f>
        <v>43807</v>
      </c>
      <c r="AC18" s="69"/>
      <c r="AD18" s="69"/>
      <c r="AE18" s="69"/>
    </row>
    <row r="19" spans="1:31" ht="15.75" customHeight="1" thickBot="1" x14ac:dyDescent="0.35">
      <c r="C19" s="126"/>
      <c r="D19" s="126"/>
      <c r="E19" s="72"/>
      <c r="F19" s="66"/>
      <c r="G19" s="66"/>
      <c r="R19" s="282" t="s">
        <v>33</v>
      </c>
      <c r="S19" s="283"/>
      <c r="T19" s="138" t="str">
        <f t="shared" si="3"/>
        <v>mercredi</v>
      </c>
      <c r="U19" s="68">
        <f>DATE(Anopt,12,25)</f>
        <v>43824</v>
      </c>
      <c r="AB19" s="126"/>
      <c r="AC19" s="126"/>
      <c r="AD19" s="72"/>
      <c r="AE19" s="66"/>
    </row>
    <row r="20" spans="1:31" ht="14.55" customHeight="1" x14ac:dyDescent="0.3">
      <c r="C20" s="126"/>
      <c r="D20" s="126"/>
      <c r="E20" s="72"/>
      <c r="F20" s="66"/>
      <c r="G20" s="66"/>
      <c r="R20" s="139"/>
      <c r="S20" s="139"/>
      <c r="T20" s="65"/>
      <c r="U20" s="140"/>
      <c r="AB20" s="126"/>
      <c r="AC20" s="126"/>
      <c r="AD20" s="72"/>
      <c r="AE20" s="66"/>
    </row>
    <row r="21" spans="1:31" ht="14.55" customHeight="1" thickBot="1" x14ac:dyDescent="0.35">
      <c r="C21" s="127"/>
      <c r="D21" s="127"/>
      <c r="E21" s="127"/>
      <c r="F21" s="127"/>
      <c r="G21" s="66"/>
      <c r="H21" s="287"/>
      <c r="I21" s="287"/>
      <c r="J21" s="70"/>
      <c r="K21" s="71"/>
      <c r="M21" s="127"/>
      <c r="N21" s="127"/>
      <c r="O21" s="127"/>
      <c r="P21" s="127"/>
      <c r="R21" s="127"/>
      <c r="S21" s="127"/>
      <c r="T21" s="127"/>
      <c r="U21" s="127"/>
      <c r="W21" s="127"/>
      <c r="X21" s="127"/>
      <c r="Y21" s="127"/>
      <c r="Z21" s="127"/>
      <c r="AB21" s="127"/>
      <c r="AC21" s="127"/>
      <c r="AD21" s="127"/>
      <c r="AE21" s="127"/>
    </row>
    <row r="22" spans="1:31" ht="18.149999999999999" customHeight="1" thickBot="1" x14ac:dyDescent="0.35">
      <c r="C22" s="284" t="s">
        <v>34</v>
      </c>
      <c r="D22" s="285"/>
      <c r="E22" s="285"/>
      <c r="F22" s="286"/>
      <c r="H22" s="284" t="s">
        <v>34</v>
      </c>
      <c r="I22" s="285"/>
      <c r="J22" s="285"/>
      <c r="K22" s="286"/>
      <c r="M22" s="284" t="s">
        <v>34</v>
      </c>
      <c r="N22" s="285"/>
      <c r="O22" s="285"/>
      <c r="P22" s="286"/>
      <c r="R22" s="284" t="s">
        <v>34</v>
      </c>
      <c r="S22" s="285"/>
      <c r="T22" s="285"/>
      <c r="U22" s="286"/>
      <c r="W22" s="284" t="s">
        <v>34</v>
      </c>
      <c r="X22" s="285"/>
      <c r="Y22" s="285"/>
      <c r="Z22" s="286"/>
      <c r="AB22" s="284" t="s">
        <v>34</v>
      </c>
      <c r="AC22" s="285"/>
      <c r="AD22" s="285"/>
      <c r="AE22" s="286"/>
    </row>
    <row r="23" spans="1:31" ht="15.75" customHeight="1" thickTop="1" x14ac:dyDescent="0.3">
      <c r="C23" s="280" t="s">
        <v>35</v>
      </c>
      <c r="D23" s="281"/>
      <c r="E23" s="133" t="str">
        <f>CHOOSE(WEEKDAY(F23,2),"lundi","mardi","mercredi","jeudi","vendredi","samedi","dimanche")</f>
        <v>dimanche</v>
      </c>
      <c r="F23" s="132">
        <f>ROUND(DATE(Anolu,4,1)/7+MOD(19*MOD(Anolu,19)-7,30)*14/100,0)*7-6</f>
        <v>43576</v>
      </c>
      <c r="H23" s="280" t="s">
        <v>35</v>
      </c>
      <c r="I23" s="281"/>
      <c r="J23" s="133" t="str">
        <f>CHOOSE(WEEKDAY(K23,2),"lundi","mardi","mercredi","jeudi","vendredi","samedi","dimanche")</f>
        <v>dimanche</v>
      </c>
      <c r="K23" s="132">
        <f>ROUND(DATE(Anofr,4,1)/7+MOD(19*MOD(Anofr,19)-7,30)*14/100,0)*7-6</f>
        <v>43576</v>
      </c>
      <c r="M23" s="280" t="s">
        <v>35</v>
      </c>
      <c r="N23" s="281"/>
      <c r="O23" s="133" t="str">
        <f>CHOOSE(WEEKDAY(P23,2),"lundi","mardi","mercredi","jeudi","vendredi","samedi","dimanche")</f>
        <v>dimanche</v>
      </c>
      <c r="P23" s="132">
        <f>ROUND(DATE(Anobe,4,1)/7+MOD(19*MOD(Anobe,19)-7,30)*14/100,0)*7-6</f>
        <v>43576</v>
      </c>
      <c r="R23" s="280" t="s">
        <v>35</v>
      </c>
      <c r="S23" s="281"/>
      <c r="T23" s="133" t="str">
        <f>CHOOSE(WEEKDAY(U23,2),"lundi","mardi","mercredi","jeudi","vendredi","samedi","dimanche")</f>
        <v>dimanche</v>
      </c>
      <c r="U23" s="132">
        <f>ROUND(DATE(Anopt,4,1)/7+MOD(19*MOD(Anopt,19)-7,30)*14/100,0)*7-6</f>
        <v>43576</v>
      </c>
      <c r="W23" s="280" t="s">
        <v>35</v>
      </c>
      <c r="X23" s="281"/>
      <c r="Y23" s="133" t="str">
        <f>CHOOSE(WEEKDAY(Z23,2),"lundi","mardi","mercredi","jeudi","vendredi","samedi","dimanche")</f>
        <v>dimanche</v>
      </c>
      <c r="Z23" s="132">
        <f>ROUND(DATE(Anoall,4,1)/7+MOD(19*MOD(Anoall,19)-7,30)*14/100,0)*7-6</f>
        <v>43576</v>
      </c>
      <c r="AB23" s="280" t="s">
        <v>35</v>
      </c>
      <c r="AC23" s="281"/>
      <c r="AD23" s="133" t="str">
        <f>CHOOSE(WEEKDAY(AE23,2),"lundi","mardi","mercredi","jeudi","vendredi","samedi","dimanche")</f>
        <v>dimanche</v>
      </c>
      <c r="AE23" s="132">
        <f>ROUND(DATE(Anovaclu,4,1)/7+MOD(19*MOD(Anovaclu,19)-7,30)*14/100,0)*7-6</f>
        <v>43576</v>
      </c>
    </row>
    <row r="24" spans="1:31" ht="15.75" customHeight="1" thickBot="1" x14ac:dyDescent="0.35">
      <c r="C24" s="278" t="s">
        <v>36</v>
      </c>
      <c r="D24" s="279"/>
      <c r="E24" s="131" t="str">
        <f>CHOOSE(WEEKDAY(F24,2),"lundi","mardi","mercredi","jeudi","vendredi","samedi","dimanche")</f>
        <v>dimanche</v>
      </c>
      <c r="F24" s="68">
        <f>F23+49</f>
        <v>43625</v>
      </c>
      <c r="H24" s="278" t="s">
        <v>36</v>
      </c>
      <c r="I24" s="279"/>
      <c r="J24" s="131" t="str">
        <f>CHOOSE(WEEKDAY(K24,2),"lundi","mardi","mercredi","jeudi","vendredi","samedi","dimanche")</f>
        <v>dimanche</v>
      </c>
      <c r="K24" s="68">
        <f>K23+49</f>
        <v>43625</v>
      </c>
      <c r="M24" s="278" t="s">
        <v>36</v>
      </c>
      <c r="N24" s="279"/>
      <c r="O24" s="131" t="str">
        <f>CHOOSE(WEEKDAY(P24,2),"lundi","mardi","mercredi","jeudi","vendredi","samedi","dimanche")</f>
        <v>dimanche</v>
      </c>
      <c r="P24" s="68">
        <f>P23+49</f>
        <v>43625</v>
      </c>
      <c r="R24" s="278" t="s">
        <v>36</v>
      </c>
      <c r="S24" s="279"/>
      <c r="T24" s="131" t="str">
        <f>CHOOSE(WEEKDAY(U24,2),"lundi","mardi","mercredi","jeudi","vendredi","samedi","dimanche")</f>
        <v>dimanche</v>
      </c>
      <c r="U24" s="68">
        <f>U23+49</f>
        <v>43625</v>
      </c>
      <c r="W24" s="278" t="s">
        <v>36</v>
      </c>
      <c r="X24" s="279"/>
      <c r="Y24" s="131" t="str">
        <f>CHOOSE(WEEKDAY(Z24,2),"lundi","mardi","mercredi","jeudi","vendredi","samedi","dimanche")</f>
        <v>dimanche</v>
      </c>
      <c r="Z24" s="68">
        <f>Z23+49</f>
        <v>43625</v>
      </c>
      <c r="AB24" s="278" t="s">
        <v>36</v>
      </c>
      <c r="AC24" s="279"/>
      <c r="AD24" s="131" t="str">
        <f>CHOOSE(WEEKDAY(AE24,2),"lundi","mardi","mercredi","jeudi","vendredi","samedi","dimanche")</f>
        <v>dimanche</v>
      </c>
      <c r="AE24" s="68">
        <f>AE23+49</f>
        <v>43625</v>
      </c>
    </row>
    <row r="26" spans="1:31" ht="15.15" thickBot="1" x14ac:dyDescent="0.35">
      <c r="A26" s="94"/>
      <c r="B26" s="114"/>
      <c r="C26" s="114"/>
      <c r="D26" s="114"/>
      <c r="E26" s="114"/>
      <c r="F26" s="114"/>
      <c r="G26" s="114"/>
      <c r="H26" s="114"/>
      <c r="I26" s="94"/>
    </row>
    <row r="27" spans="1:31" ht="18.149999999999999" customHeight="1" thickTop="1" thickBot="1" x14ac:dyDescent="0.35">
      <c r="A27" s="95"/>
      <c r="B27" s="245" t="s">
        <v>39</v>
      </c>
      <c r="C27" s="246"/>
      <c r="D27" s="246"/>
      <c r="E27" s="246"/>
      <c r="F27" s="246"/>
      <c r="G27" s="246"/>
      <c r="H27" s="247"/>
      <c r="I27" s="94"/>
    </row>
    <row r="28" spans="1:31" ht="4.25" customHeight="1" thickTop="1" x14ac:dyDescent="0.3">
      <c r="A28" s="95"/>
      <c r="B28" s="272"/>
      <c r="C28" s="273"/>
      <c r="D28" s="273"/>
      <c r="E28" s="273"/>
      <c r="F28" s="273"/>
      <c r="G28" s="273"/>
      <c r="H28" s="274"/>
      <c r="I28" s="94"/>
    </row>
    <row r="29" spans="1:31" ht="15.75" x14ac:dyDescent="0.3">
      <c r="A29" s="95"/>
      <c r="B29" s="96"/>
      <c r="C29" s="266">
        <v>2019</v>
      </c>
      <c r="D29" s="267"/>
      <c r="E29" s="267"/>
      <c r="F29" s="267"/>
      <c r="G29" s="268"/>
      <c r="H29" s="97"/>
      <c r="I29" s="98"/>
    </row>
    <row r="30" spans="1:31" x14ac:dyDescent="0.3">
      <c r="A30" s="95"/>
      <c r="B30" s="99"/>
      <c r="C30" s="94"/>
      <c r="D30" s="94"/>
      <c r="E30" s="94"/>
      <c r="F30" s="94"/>
      <c r="G30" s="94"/>
      <c r="H30" s="95"/>
      <c r="I30" s="94"/>
    </row>
    <row r="31" spans="1:31" x14ac:dyDescent="0.3">
      <c r="A31" s="95"/>
      <c r="B31" s="99"/>
      <c r="C31" s="100" t="s">
        <v>40</v>
      </c>
      <c r="D31" s="100" t="s">
        <v>41</v>
      </c>
      <c r="E31" s="100" t="s">
        <v>42</v>
      </c>
      <c r="F31" s="100" t="s">
        <v>43</v>
      </c>
      <c r="G31" s="100" t="s">
        <v>44</v>
      </c>
      <c r="H31" s="101" t="s">
        <v>45</v>
      </c>
      <c r="I31" s="100"/>
    </row>
    <row r="32" spans="1:31" x14ac:dyDescent="0.3">
      <c r="A32" s="95"/>
      <c r="B32" s="99"/>
      <c r="C32" s="94"/>
      <c r="D32" s="94"/>
      <c r="E32" s="94"/>
      <c r="F32" s="94"/>
      <c r="G32" s="94"/>
      <c r="H32" s="95"/>
      <c r="I32" s="94"/>
    </row>
    <row r="33" spans="1:9" x14ac:dyDescent="0.3">
      <c r="A33" s="95"/>
      <c r="B33" s="102" t="s">
        <v>46</v>
      </c>
      <c r="C33" s="103">
        <v>43456</v>
      </c>
      <c r="D33" s="103">
        <v>43512</v>
      </c>
      <c r="E33" s="103">
        <v>43561</v>
      </c>
      <c r="F33" s="103">
        <v>43610</v>
      </c>
      <c r="G33" s="103">
        <v>43659</v>
      </c>
      <c r="H33" s="104">
        <v>43764</v>
      </c>
      <c r="I33" s="103"/>
    </row>
    <row r="34" spans="1:9" x14ac:dyDescent="0.3">
      <c r="A34" s="95"/>
      <c r="B34" s="102" t="s">
        <v>47</v>
      </c>
      <c r="C34" s="103">
        <v>43471</v>
      </c>
      <c r="D34" s="103">
        <v>43520</v>
      </c>
      <c r="E34" s="103">
        <v>43577</v>
      </c>
      <c r="F34" s="103">
        <v>43618</v>
      </c>
      <c r="G34" s="103">
        <v>43723</v>
      </c>
      <c r="H34" s="104">
        <v>43772</v>
      </c>
      <c r="I34" s="103"/>
    </row>
    <row r="35" spans="1:9" x14ac:dyDescent="0.3">
      <c r="A35" s="95"/>
      <c r="B35" s="105"/>
      <c r="C35" s="106"/>
      <c r="D35" s="107"/>
      <c r="E35" s="107"/>
      <c r="F35" s="107"/>
      <c r="G35" s="107"/>
      <c r="H35" s="108"/>
      <c r="I35" s="94"/>
    </row>
    <row r="36" spans="1:9" x14ac:dyDescent="0.3">
      <c r="A36" s="95"/>
      <c r="B36" s="275"/>
      <c r="C36" s="276"/>
      <c r="D36" s="276"/>
      <c r="E36" s="276"/>
      <c r="F36" s="276"/>
      <c r="G36" s="276"/>
      <c r="H36" s="277"/>
      <c r="I36" s="94"/>
    </row>
    <row r="37" spans="1:9" ht="15.75" x14ac:dyDescent="0.3">
      <c r="A37" s="95"/>
      <c r="B37" s="96"/>
      <c r="C37" s="266">
        <v>2020</v>
      </c>
      <c r="D37" s="267"/>
      <c r="E37" s="267"/>
      <c r="F37" s="267"/>
      <c r="G37" s="268"/>
      <c r="H37" s="97"/>
      <c r="I37" s="98"/>
    </row>
    <row r="38" spans="1:9" x14ac:dyDescent="0.3">
      <c r="A38" s="95"/>
      <c r="B38" s="99"/>
      <c r="C38" s="94"/>
      <c r="D38" s="94"/>
      <c r="E38" s="94"/>
      <c r="F38" s="94"/>
      <c r="G38" s="94"/>
      <c r="H38" s="95"/>
      <c r="I38" s="94"/>
    </row>
    <row r="39" spans="1:9" x14ac:dyDescent="0.3">
      <c r="A39" s="95"/>
      <c r="B39" s="99"/>
      <c r="C39" s="100" t="s">
        <v>48</v>
      </c>
      <c r="D39" s="100" t="s">
        <v>41</v>
      </c>
      <c r="E39" s="100" t="s">
        <v>42</v>
      </c>
      <c r="F39" s="100" t="s">
        <v>43</v>
      </c>
      <c r="G39" s="100" t="s">
        <v>44</v>
      </c>
      <c r="H39" s="101" t="s">
        <v>45</v>
      </c>
      <c r="I39" s="100"/>
    </row>
    <row r="40" spans="1:9" x14ac:dyDescent="0.3">
      <c r="A40" s="95"/>
      <c r="B40" s="99"/>
      <c r="C40" s="94"/>
      <c r="D40" s="94"/>
      <c r="E40" s="94"/>
      <c r="F40" s="94"/>
      <c r="G40" s="94"/>
      <c r="H40" s="95"/>
      <c r="I40" s="94"/>
    </row>
    <row r="41" spans="1:9" x14ac:dyDescent="0.3">
      <c r="A41" s="95"/>
      <c r="B41" s="102" t="s">
        <v>46</v>
      </c>
      <c r="C41" s="103">
        <v>43820</v>
      </c>
      <c r="D41" s="103">
        <v>43876</v>
      </c>
      <c r="E41" s="103">
        <v>43925</v>
      </c>
      <c r="F41" s="103">
        <v>43981</v>
      </c>
      <c r="G41" s="103">
        <v>44028</v>
      </c>
      <c r="H41" s="104">
        <v>44135</v>
      </c>
      <c r="I41" s="103"/>
    </row>
    <row r="42" spans="1:9" x14ac:dyDescent="0.3">
      <c r="A42" s="95"/>
      <c r="B42" s="102" t="s">
        <v>47</v>
      </c>
      <c r="C42" s="103">
        <v>43835</v>
      </c>
      <c r="D42" s="103">
        <v>43884</v>
      </c>
      <c r="E42" s="103">
        <v>43940</v>
      </c>
      <c r="F42" s="103">
        <v>43989</v>
      </c>
      <c r="G42" s="103">
        <v>44088</v>
      </c>
      <c r="H42" s="104">
        <v>44143</v>
      </c>
      <c r="I42" s="103"/>
    </row>
    <row r="43" spans="1:9" x14ac:dyDescent="0.3">
      <c r="A43" s="95"/>
      <c r="B43" s="105"/>
      <c r="C43" s="106"/>
      <c r="D43" s="107"/>
      <c r="E43" s="107"/>
      <c r="F43" s="107"/>
      <c r="G43" s="107"/>
      <c r="H43" s="108"/>
      <c r="I43" s="94"/>
    </row>
    <row r="44" spans="1:9" x14ac:dyDescent="0.3">
      <c r="A44" s="95"/>
      <c r="B44" s="275"/>
      <c r="C44" s="276"/>
      <c r="D44" s="276"/>
      <c r="E44" s="276"/>
      <c r="F44" s="276"/>
      <c r="G44" s="276"/>
      <c r="H44" s="277"/>
      <c r="I44" s="94"/>
    </row>
    <row r="45" spans="1:9" ht="15.75" x14ac:dyDescent="0.3">
      <c r="A45" s="95"/>
      <c r="B45" s="96"/>
      <c r="C45" s="266">
        <v>2021</v>
      </c>
      <c r="D45" s="267"/>
      <c r="E45" s="267"/>
      <c r="F45" s="267"/>
      <c r="G45" s="268"/>
      <c r="H45" s="97"/>
      <c r="I45" s="94"/>
    </row>
    <row r="46" spans="1:9" x14ac:dyDescent="0.3">
      <c r="A46" s="95"/>
      <c r="B46" s="99"/>
      <c r="C46" s="94"/>
      <c r="D46" s="94"/>
      <c r="E46" s="94"/>
      <c r="F46" s="94"/>
      <c r="G46" s="94"/>
      <c r="H46" s="95"/>
      <c r="I46" s="94"/>
    </row>
    <row r="47" spans="1:9" x14ac:dyDescent="0.3">
      <c r="A47" s="95"/>
      <c r="B47" s="99"/>
      <c r="C47" s="100" t="s">
        <v>49</v>
      </c>
      <c r="D47" s="100" t="s">
        <v>41</v>
      </c>
      <c r="E47" s="100" t="s">
        <v>42</v>
      </c>
      <c r="F47" s="100" t="s">
        <v>43</v>
      </c>
      <c r="G47" s="100" t="s">
        <v>44</v>
      </c>
      <c r="H47" s="101" t="s">
        <v>45</v>
      </c>
      <c r="I47" s="94"/>
    </row>
    <row r="48" spans="1:9" x14ac:dyDescent="0.3">
      <c r="A48" s="95"/>
      <c r="B48" s="99"/>
      <c r="C48" s="94"/>
      <c r="D48" s="94"/>
      <c r="E48" s="94"/>
      <c r="F48" s="94"/>
      <c r="G48" s="94"/>
      <c r="H48" s="95"/>
      <c r="I48" s="94"/>
    </row>
    <row r="49" spans="1:9" x14ac:dyDescent="0.3">
      <c r="A49" s="95"/>
      <c r="B49" s="102" t="s">
        <v>46</v>
      </c>
      <c r="C49" s="103">
        <v>44184</v>
      </c>
      <c r="D49" s="103">
        <v>44240</v>
      </c>
      <c r="E49" s="103">
        <v>44289</v>
      </c>
      <c r="F49" s="103">
        <v>44338</v>
      </c>
      <c r="G49" s="103">
        <v>44393</v>
      </c>
      <c r="H49" s="104"/>
      <c r="I49" s="94"/>
    </row>
    <row r="50" spans="1:9" x14ac:dyDescent="0.3">
      <c r="A50" s="95"/>
      <c r="B50" s="102" t="s">
        <v>47</v>
      </c>
      <c r="C50" s="103">
        <v>44199</v>
      </c>
      <c r="D50" s="103">
        <v>44248</v>
      </c>
      <c r="E50" s="103">
        <v>44304</v>
      </c>
      <c r="F50" s="103">
        <v>44346</v>
      </c>
      <c r="G50" s="103">
        <v>44453</v>
      </c>
      <c r="H50" s="104"/>
      <c r="I50" s="94"/>
    </row>
    <row r="51" spans="1:9" x14ac:dyDescent="0.3">
      <c r="A51" s="95"/>
      <c r="B51" s="99"/>
      <c r="C51" s="103"/>
      <c r="D51" s="94"/>
      <c r="E51" s="94"/>
      <c r="F51" s="94"/>
      <c r="G51" s="94"/>
      <c r="H51" s="108"/>
      <c r="I51" s="94"/>
    </row>
    <row r="52" spans="1:9" ht="4.25" customHeight="1" thickBot="1" x14ac:dyDescent="0.35">
      <c r="A52" s="95"/>
      <c r="B52" s="269"/>
      <c r="C52" s="270"/>
      <c r="D52" s="270"/>
      <c r="E52" s="270"/>
      <c r="F52" s="270"/>
      <c r="G52" s="270"/>
      <c r="H52" s="271"/>
      <c r="I52" s="94"/>
    </row>
    <row r="53" spans="1:9" ht="15.15" thickTop="1" x14ac:dyDescent="0.3">
      <c r="A53" s="166"/>
      <c r="B53" s="167"/>
      <c r="C53" s="167"/>
      <c r="D53" s="167"/>
      <c r="E53" s="167"/>
      <c r="F53" s="167"/>
      <c r="G53" s="167"/>
      <c r="H53" s="167"/>
      <c r="I53" s="166"/>
    </row>
    <row r="54" spans="1:9" x14ac:dyDescent="0.3">
      <c r="A54" s="166"/>
      <c r="B54" s="168"/>
      <c r="C54" s="167"/>
      <c r="D54" s="167"/>
      <c r="E54" s="167"/>
      <c r="F54" s="167"/>
      <c r="G54" s="167"/>
      <c r="H54" s="167"/>
      <c r="I54" s="166"/>
    </row>
    <row r="55" spans="1:9" x14ac:dyDescent="0.3">
      <c r="A55" s="166"/>
      <c r="B55" s="168"/>
      <c r="C55" s="167"/>
      <c r="D55" s="167"/>
      <c r="E55" s="167"/>
      <c r="F55" s="167"/>
      <c r="G55" s="167"/>
      <c r="H55" s="167"/>
      <c r="I55" s="166"/>
    </row>
    <row r="56" spans="1:9" x14ac:dyDescent="0.3">
      <c r="A56" s="166"/>
      <c r="B56" s="168"/>
      <c r="C56" s="167"/>
      <c r="D56" s="167"/>
      <c r="E56" s="167"/>
      <c r="F56" s="167"/>
      <c r="G56" s="167"/>
      <c r="H56" s="167"/>
      <c r="I56" s="166"/>
    </row>
    <row r="57" spans="1:9" x14ac:dyDescent="0.3">
      <c r="A57" s="166"/>
      <c r="B57" s="167"/>
      <c r="C57" s="167"/>
      <c r="D57" s="167"/>
      <c r="E57" s="167"/>
      <c r="F57" s="167"/>
      <c r="G57" s="167"/>
      <c r="H57" s="167"/>
      <c r="I57" s="166"/>
    </row>
    <row r="58" spans="1:9" ht="16.95" customHeight="1" x14ac:dyDescent="0.3">
      <c r="A58" s="166"/>
      <c r="B58" s="169"/>
      <c r="C58" s="169"/>
      <c r="D58" s="169"/>
      <c r="E58" s="169"/>
      <c r="F58" s="169"/>
      <c r="G58" s="169"/>
      <c r="H58" s="169"/>
      <c r="I58" s="166"/>
    </row>
    <row r="59" spans="1:9" ht="16.95" customHeight="1" x14ac:dyDescent="0.3">
      <c r="A59" s="166"/>
      <c r="B59" s="176"/>
      <c r="C59" s="176"/>
      <c r="D59" s="176"/>
      <c r="E59" s="176"/>
      <c r="F59" s="176"/>
      <c r="G59" s="176"/>
      <c r="H59" s="176"/>
      <c r="I59" s="166"/>
    </row>
    <row r="60" spans="1:9" ht="16.95" customHeight="1" x14ac:dyDescent="0.3">
      <c r="A60" s="166"/>
      <c r="B60" s="170"/>
      <c r="C60" s="171"/>
      <c r="D60" s="171"/>
      <c r="E60" s="171"/>
      <c r="F60" s="171"/>
      <c r="G60" s="171"/>
      <c r="H60" s="171"/>
      <c r="I60" s="166"/>
    </row>
    <row r="61" spans="1:9" x14ac:dyDescent="0.3">
      <c r="A61" s="166"/>
      <c r="B61" s="166"/>
      <c r="C61" s="172"/>
      <c r="D61" s="166"/>
      <c r="E61" s="166"/>
      <c r="F61" s="166"/>
      <c r="G61" s="166"/>
      <c r="H61" s="166"/>
      <c r="I61" s="166"/>
    </row>
    <row r="62" spans="1:9" x14ac:dyDescent="0.3">
      <c r="A62" s="166"/>
      <c r="B62" s="166"/>
      <c r="C62" s="172"/>
      <c r="D62" s="166"/>
      <c r="E62" s="166"/>
      <c r="F62" s="166"/>
      <c r="G62" s="166"/>
      <c r="H62" s="166"/>
      <c r="I62" s="166"/>
    </row>
    <row r="63" spans="1:9" x14ac:dyDescent="0.3">
      <c r="A63" s="166"/>
      <c r="B63" s="166"/>
      <c r="C63" s="172"/>
      <c r="D63" s="166"/>
      <c r="E63" s="166"/>
      <c r="F63" s="166"/>
      <c r="G63" s="166"/>
      <c r="H63" s="166"/>
      <c r="I63" s="166"/>
    </row>
    <row r="64" spans="1:9" x14ac:dyDescent="0.3">
      <c r="A64" s="166"/>
      <c r="B64" s="173"/>
      <c r="C64" s="172"/>
      <c r="D64" s="166"/>
      <c r="E64" s="166"/>
      <c r="F64" s="166"/>
      <c r="G64" s="166"/>
      <c r="H64" s="166"/>
      <c r="I64" s="166"/>
    </row>
    <row r="65" spans="1:9" x14ac:dyDescent="0.3">
      <c r="A65" s="166"/>
      <c r="B65" s="173"/>
      <c r="C65" s="172"/>
      <c r="D65" s="166"/>
      <c r="E65" s="166"/>
      <c r="F65" s="166"/>
      <c r="G65" s="166"/>
      <c r="H65" s="166"/>
      <c r="I65" s="166"/>
    </row>
    <row r="66" spans="1:9" x14ac:dyDescent="0.3">
      <c r="A66" s="166"/>
      <c r="B66" s="174"/>
      <c r="C66" s="172"/>
      <c r="D66" s="166"/>
      <c r="E66" s="166"/>
      <c r="F66" s="166"/>
      <c r="G66" s="166"/>
      <c r="H66" s="166"/>
      <c r="I66" s="166"/>
    </row>
    <row r="67" spans="1:9" x14ac:dyDescent="0.3">
      <c r="A67" s="166"/>
      <c r="B67" s="166"/>
      <c r="C67" s="172"/>
      <c r="D67" s="166"/>
      <c r="E67" s="166"/>
      <c r="F67" s="166"/>
      <c r="G67" s="166"/>
      <c r="H67" s="166"/>
      <c r="I67" s="166"/>
    </row>
    <row r="68" spans="1:9" x14ac:dyDescent="0.3">
      <c r="A68" s="166"/>
      <c r="B68" s="169"/>
      <c r="C68" s="172"/>
      <c r="D68" s="166"/>
      <c r="E68" s="166"/>
      <c r="F68" s="166"/>
      <c r="G68" s="166"/>
      <c r="H68" s="166"/>
      <c r="I68" s="166"/>
    </row>
    <row r="69" spans="1:9" x14ac:dyDescent="0.3">
      <c r="A69" s="166"/>
      <c r="B69" s="169"/>
      <c r="C69" s="169"/>
      <c r="D69" s="169"/>
      <c r="E69" s="169"/>
      <c r="F69" s="169"/>
      <c r="G69" s="169"/>
      <c r="H69" s="169"/>
      <c r="I69" s="166"/>
    </row>
    <row r="70" spans="1:9" x14ac:dyDescent="0.3">
      <c r="A70" s="166"/>
      <c r="B70" s="169"/>
      <c r="C70" s="169"/>
      <c r="D70" s="169"/>
      <c r="E70" s="169"/>
      <c r="F70" s="169"/>
      <c r="G70" s="169"/>
      <c r="H70" s="169"/>
      <c r="I70" s="166"/>
    </row>
    <row r="71" spans="1:9" x14ac:dyDescent="0.3">
      <c r="A71" s="166"/>
      <c r="B71" s="166"/>
      <c r="C71" s="166"/>
      <c r="D71" s="166"/>
      <c r="E71" s="166"/>
      <c r="F71" s="166"/>
      <c r="G71" s="166"/>
      <c r="H71" s="166"/>
      <c r="I71" s="166"/>
    </row>
    <row r="72" spans="1:9" x14ac:dyDescent="0.3">
      <c r="A72" s="166"/>
      <c r="B72" s="166"/>
      <c r="C72" s="166"/>
      <c r="D72" s="166"/>
      <c r="E72" s="166"/>
      <c r="F72" s="166"/>
      <c r="G72" s="166"/>
      <c r="H72" s="166"/>
      <c r="I72" s="166"/>
    </row>
    <row r="73" spans="1:9" x14ac:dyDescent="0.3">
      <c r="A73" s="166"/>
      <c r="B73" s="174"/>
      <c r="C73" s="166"/>
      <c r="D73" s="166"/>
      <c r="E73" s="166"/>
      <c r="F73" s="166"/>
      <c r="G73" s="166"/>
      <c r="H73" s="166"/>
      <c r="I73" s="166"/>
    </row>
    <row r="74" spans="1:9" x14ac:dyDescent="0.3">
      <c r="A74" s="166"/>
      <c r="B74" s="174"/>
      <c r="C74" s="166"/>
      <c r="D74" s="166"/>
      <c r="E74" s="166"/>
      <c r="F74" s="166"/>
      <c r="G74" s="166"/>
      <c r="H74" s="166"/>
      <c r="I74" s="166"/>
    </row>
    <row r="75" spans="1:9" x14ac:dyDescent="0.3">
      <c r="A75" s="166"/>
      <c r="B75" s="166"/>
      <c r="C75" s="166"/>
      <c r="D75" s="166"/>
      <c r="E75" s="166"/>
      <c r="F75" s="166"/>
      <c r="G75" s="166"/>
      <c r="H75" s="166"/>
      <c r="I75" s="166"/>
    </row>
    <row r="76" spans="1:9" x14ac:dyDescent="0.3">
      <c r="A76" s="166"/>
      <c r="B76" s="169"/>
      <c r="C76" s="166"/>
      <c r="D76" s="166"/>
      <c r="E76" s="166"/>
      <c r="F76" s="166"/>
      <c r="G76" s="166"/>
      <c r="H76" s="166"/>
      <c r="I76" s="166"/>
    </row>
    <row r="77" spans="1:9" x14ac:dyDescent="0.3">
      <c r="A77" s="166"/>
      <c r="B77" s="169"/>
      <c r="C77" s="166"/>
      <c r="D77" s="166"/>
      <c r="E77" s="166"/>
      <c r="F77" s="166"/>
      <c r="G77" s="166"/>
      <c r="H77" s="166"/>
      <c r="I77" s="166"/>
    </row>
    <row r="78" spans="1:9" x14ac:dyDescent="0.3">
      <c r="A78" s="166"/>
      <c r="B78" s="166"/>
      <c r="C78" s="166"/>
      <c r="D78" s="166"/>
      <c r="E78" s="166"/>
      <c r="F78" s="166"/>
      <c r="G78" s="166"/>
      <c r="H78" s="166"/>
      <c r="I78" s="166"/>
    </row>
    <row r="79" spans="1:9" x14ac:dyDescent="0.3">
      <c r="A79" s="166"/>
      <c r="B79" s="166"/>
      <c r="C79" s="166"/>
      <c r="D79" s="166"/>
      <c r="E79" s="166"/>
      <c r="F79" s="166"/>
      <c r="G79" s="166"/>
      <c r="H79" s="166"/>
      <c r="I79" s="166"/>
    </row>
    <row r="80" spans="1:9" x14ac:dyDescent="0.3">
      <c r="A80" s="166"/>
      <c r="B80" s="174"/>
      <c r="C80" s="166"/>
      <c r="D80" s="166"/>
      <c r="E80" s="166"/>
      <c r="F80" s="166"/>
      <c r="G80" s="166"/>
      <c r="H80" s="166"/>
      <c r="I80" s="166"/>
    </row>
    <row r="81" spans="1:9" x14ac:dyDescent="0.3">
      <c r="A81" s="166"/>
      <c r="B81" s="166"/>
      <c r="C81" s="166"/>
      <c r="D81" s="166"/>
      <c r="E81" s="166"/>
      <c r="F81" s="166"/>
      <c r="G81" s="166"/>
      <c r="H81" s="166"/>
      <c r="I81" s="166"/>
    </row>
    <row r="82" spans="1:9" x14ac:dyDescent="0.3">
      <c r="A82" s="166"/>
      <c r="B82" s="169"/>
      <c r="C82" s="166"/>
      <c r="D82" s="166"/>
      <c r="E82" s="166"/>
      <c r="F82" s="166"/>
      <c r="G82" s="166"/>
      <c r="H82" s="166"/>
      <c r="I82" s="166"/>
    </row>
    <row r="83" spans="1:9" ht="14.55" customHeight="1" x14ac:dyDescent="0.3">
      <c r="A83" s="166"/>
      <c r="B83" s="174"/>
      <c r="C83" s="166"/>
      <c r="D83" s="169"/>
      <c r="E83" s="166"/>
      <c r="F83" s="166"/>
      <c r="G83" s="166"/>
      <c r="H83" s="166"/>
      <c r="I83" s="166"/>
    </row>
    <row r="84" spans="1:9" ht="14.55" customHeight="1" x14ac:dyDescent="0.3">
      <c r="A84" s="166"/>
      <c r="B84" s="166"/>
      <c r="C84" s="166"/>
      <c r="D84" s="166"/>
      <c r="E84" s="166"/>
      <c r="F84" s="166"/>
      <c r="G84" s="166"/>
      <c r="H84" s="166"/>
      <c r="I84" s="166"/>
    </row>
    <row r="85" spans="1:9" ht="14.55" customHeight="1" x14ac:dyDescent="0.3">
      <c r="A85" s="166"/>
      <c r="B85" s="174"/>
      <c r="C85" s="166"/>
      <c r="D85" s="166"/>
      <c r="E85" s="166"/>
      <c r="F85" s="166"/>
      <c r="G85" s="166"/>
      <c r="H85" s="166"/>
      <c r="I85" s="166"/>
    </row>
    <row r="86" spans="1:9" ht="14.55" customHeight="1" x14ac:dyDescent="0.3">
      <c r="A86" s="166"/>
      <c r="B86" s="166"/>
      <c r="C86" s="166"/>
      <c r="D86" s="166"/>
      <c r="E86" s="166"/>
      <c r="F86" s="166"/>
      <c r="G86" s="166"/>
      <c r="H86" s="166"/>
      <c r="I86" s="166"/>
    </row>
    <row r="87" spans="1:9" ht="14.55" customHeight="1" x14ac:dyDescent="0.3">
      <c r="A87" s="166"/>
      <c r="B87" s="174"/>
      <c r="C87" s="166"/>
      <c r="D87" s="166"/>
      <c r="E87" s="166"/>
      <c r="F87" s="166"/>
      <c r="G87" s="166"/>
      <c r="H87" s="166"/>
      <c r="I87" s="166"/>
    </row>
    <row r="88" spans="1:9" ht="14.55" customHeight="1" x14ac:dyDescent="0.3">
      <c r="A88" s="166"/>
      <c r="B88" s="174"/>
      <c r="C88" s="166"/>
      <c r="D88" s="166"/>
      <c r="E88" s="166"/>
      <c r="F88" s="166"/>
      <c r="G88" s="166"/>
      <c r="H88" s="166"/>
      <c r="I88" s="166"/>
    </row>
    <row r="89" spans="1:9" ht="14.55" customHeight="1" x14ac:dyDescent="0.3">
      <c r="A89" s="166"/>
      <c r="B89" s="174"/>
      <c r="C89" s="166"/>
      <c r="D89" s="166"/>
      <c r="E89" s="166"/>
      <c r="F89" s="166"/>
      <c r="G89" s="166"/>
      <c r="H89" s="166"/>
      <c r="I89" s="166"/>
    </row>
    <row r="90" spans="1:9" ht="14.55" customHeight="1" x14ac:dyDescent="0.3">
      <c r="A90" s="166"/>
      <c r="B90" s="174"/>
      <c r="C90" s="166"/>
      <c r="D90" s="166"/>
      <c r="E90" s="166"/>
      <c r="F90" s="166"/>
      <c r="G90" s="166"/>
      <c r="H90" s="166"/>
      <c r="I90" s="166"/>
    </row>
    <row r="91" spans="1:9" ht="14.55" customHeight="1" x14ac:dyDescent="0.3">
      <c r="A91" s="166"/>
      <c r="B91" s="174"/>
      <c r="C91" s="166"/>
      <c r="D91" s="166"/>
      <c r="E91" s="166"/>
      <c r="F91" s="166"/>
      <c r="G91" s="166"/>
      <c r="H91" s="166"/>
      <c r="I91" s="166"/>
    </row>
    <row r="92" spans="1:9" ht="14.55" customHeight="1" x14ac:dyDescent="0.3">
      <c r="A92" s="166"/>
      <c r="B92" s="174"/>
      <c r="C92" s="166"/>
      <c r="D92" s="166"/>
      <c r="E92" s="166"/>
      <c r="F92" s="166"/>
      <c r="G92" s="166"/>
      <c r="H92" s="166"/>
      <c r="I92" s="166"/>
    </row>
    <row r="93" spans="1:9" ht="14.55" customHeight="1" x14ac:dyDescent="0.3">
      <c r="A93" s="166"/>
      <c r="B93" s="174"/>
      <c r="C93" s="166"/>
      <c r="D93" s="166"/>
      <c r="E93" s="166"/>
      <c r="F93" s="166"/>
      <c r="G93" s="166"/>
      <c r="H93" s="166"/>
      <c r="I93" s="166"/>
    </row>
    <row r="94" spans="1:9" ht="14.55" customHeight="1" x14ac:dyDescent="0.3">
      <c r="A94" s="166"/>
      <c r="B94" s="174"/>
      <c r="C94" s="166"/>
      <c r="D94" s="166"/>
      <c r="E94" s="166"/>
      <c r="F94" s="166"/>
      <c r="G94" s="166"/>
      <c r="H94" s="166"/>
      <c r="I94" s="166"/>
    </row>
    <row r="95" spans="1:9" ht="14.55" customHeight="1" x14ac:dyDescent="0.3">
      <c r="A95" s="166"/>
      <c r="B95" s="175"/>
      <c r="C95" s="166"/>
      <c r="D95" s="168"/>
      <c r="E95" s="166"/>
      <c r="F95" s="166"/>
      <c r="G95" s="166"/>
      <c r="H95" s="166"/>
      <c r="I95" s="166"/>
    </row>
    <row r="96" spans="1:9" ht="14.55" customHeight="1" x14ac:dyDescent="0.3">
      <c r="A96" s="166"/>
      <c r="B96" s="174"/>
      <c r="C96" s="166"/>
      <c r="D96" s="166"/>
      <c r="E96" s="166"/>
      <c r="F96" s="166"/>
      <c r="G96" s="166"/>
      <c r="H96" s="166"/>
      <c r="I96" s="166"/>
    </row>
    <row r="97" spans="1:9" ht="14.55" customHeight="1" x14ac:dyDescent="0.3">
      <c r="A97" s="166"/>
      <c r="B97" s="174"/>
      <c r="C97" s="166"/>
      <c r="D97" s="166"/>
      <c r="E97" s="166"/>
      <c r="F97" s="166"/>
      <c r="G97" s="166"/>
      <c r="H97" s="166"/>
      <c r="I97" s="166"/>
    </row>
    <row r="98" spans="1:9" ht="14.55" customHeight="1" x14ac:dyDescent="0.3">
      <c r="A98" s="166"/>
      <c r="B98" s="174"/>
      <c r="C98" s="166"/>
      <c r="D98" s="166"/>
      <c r="E98" s="166"/>
      <c r="F98" s="166"/>
      <c r="G98" s="166"/>
      <c r="H98" s="166"/>
      <c r="I98" s="166"/>
    </row>
    <row r="99" spans="1:9" ht="14.55" customHeight="1" x14ac:dyDescent="0.3">
      <c r="A99" s="166"/>
      <c r="B99" s="174"/>
      <c r="C99" s="166"/>
      <c r="D99" s="166"/>
      <c r="E99" s="166"/>
      <c r="F99" s="166"/>
      <c r="G99" s="166"/>
      <c r="H99" s="166"/>
      <c r="I99" s="166"/>
    </row>
    <row r="100" spans="1:9" ht="14.55" customHeight="1" x14ac:dyDescent="0.3">
      <c r="A100" s="166"/>
      <c r="B100" s="174"/>
      <c r="C100" s="166"/>
      <c r="D100" s="166"/>
      <c r="E100" s="166"/>
      <c r="F100" s="166"/>
      <c r="G100" s="166"/>
      <c r="H100" s="166"/>
      <c r="I100" s="166"/>
    </row>
    <row r="101" spans="1:9" ht="14.55" customHeight="1" x14ac:dyDescent="0.3">
      <c r="A101" s="166"/>
      <c r="B101" s="177"/>
      <c r="C101" s="177"/>
      <c r="D101" s="177"/>
      <c r="E101" s="177"/>
      <c r="F101" s="177"/>
      <c r="G101" s="177"/>
      <c r="H101" s="177"/>
      <c r="I101" s="166"/>
    </row>
    <row r="102" spans="1:9" ht="16.95" customHeight="1" x14ac:dyDescent="0.3">
      <c r="A102" s="166"/>
      <c r="B102" s="177"/>
      <c r="C102" s="177"/>
      <c r="D102" s="177"/>
      <c r="E102" s="177"/>
      <c r="F102" s="177"/>
      <c r="G102" s="177"/>
      <c r="H102" s="177"/>
      <c r="I102" s="166"/>
    </row>
    <row r="103" spans="1:9" ht="16.95" customHeight="1" x14ac:dyDescent="0.3">
      <c r="A103" s="166"/>
      <c r="B103" s="177"/>
      <c r="C103" s="177"/>
      <c r="D103" s="177"/>
      <c r="E103" s="177"/>
      <c r="F103" s="177"/>
      <c r="G103" s="177"/>
      <c r="H103" s="177"/>
      <c r="I103" s="166"/>
    </row>
    <row r="104" spans="1:9" ht="16.95" customHeight="1" x14ac:dyDescent="0.3">
      <c r="A104" s="166"/>
      <c r="B104" s="177"/>
      <c r="C104" s="177"/>
      <c r="D104" s="177"/>
      <c r="E104" s="177"/>
      <c r="F104" s="177"/>
      <c r="G104" s="177"/>
      <c r="H104" s="177"/>
      <c r="I104" s="166"/>
    </row>
    <row r="105" spans="1:9" ht="16.95" customHeight="1" x14ac:dyDescent="0.3">
      <c r="A105" s="169"/>
      <c r="B105" s="177"/>
      <c r="C105" s="177"/>
      <c r="D105" s="177"/>
      <c r="E105" s="177"/>
      <c r="F105" s="177"/>
      <c r="G105" s="177"/>
      <c r="H105" s="177"/>
      <c r="I105" s="169"/>
    </row>
    <row r="106" spans="1:9" x14ac:dyDescent="0.3">
      <c r="A106" s="169"/>
      <c r="B106" s="177"/>
      <c r="C106" s="177"/>
      <c r="D106" s="177"/>
      <c r="E106" s="177"/>
      <c r="F106" s="177"/>
      <c r="G106" s="177"/>
      <c r="H106" s="177"/>
      <c r="I106" s="169"/>
    </row>
    <row r="107" spans="1:9" x14ac:dyDescent="0.3">
      <c r="A107" s="169"/>
      <c r="B107" s="177"/>
      <c r="C107" s="177"/>
      <c r="D107" s="177"/>
      <c r="E107" s="177"/>
      <c r="F107" s="177"/>
      <c r="G107" s="177"/>
      <c r="H107" s="177"/>
      <c r="I107" s="169"/>
    </row>
  </sheetData>
  <sheetProtection algorithmName="SHA-512" hashValue="YMuQMwjVrX9HupRsWN7e1x3nIh9mKvzrLhiu7XQr7+GtGHcWym0nGHx2pAfml4fi+mhsjxhcmU25NhYQCjF77Q==" saltValue="flR9UDgLWJs9MPUpYRtiDw==" spinCount="100000" sheet="1" objects="1" scenarios="1"/>
  <mergeCells count="108">
    <mergeCell ref="R16:S16"/>
    <mergeCell ref="H14:I14"/>
    <mergeCell ref="M14:N14"/>
    <mergeCell ref="C23:D23"/>
    <mergeCell ref="C17:D17"/>
    <mergeCell ref="H17:I17"/>
    <mergeCell ref="C22:F22"/>
    <mergeCell ref="H21:I21"/>
    <mergeCell ref="H22:K22"/>
    <mergeCell ref="M22:P22"/>
    <mergeCell ref="C16:D16"/>
    <mergeCell ref="H16:I16"/>
    <mergeCell ref="M16:N16"/>
    <mergeCell ref="AB23:AC23"/>
    <mergeCell ref="AB24:AC24"/>
    <mergeCell ref="AB5:AE5"/>
    <mergeCell ref="AB6:AE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AB15:AC15"/>
    <mergeCell ref="AB16:AC16"/>
    <mergeCell ref="AB17:AC17"/>
    <mergeCell ref="AB22:AE22"/>
    <mergeCell ref="C45:G45"/>
    <mergeCell ref="B52:H52"/>
    <mergeCell ref="B28:H28"/>
    <mergeCell ref="C29:G29"/>
    <mergeCell ref="B36:H36"/>
    <mergeCell ref="C37:G37"/>
    <mergeCell ref="B44:H44"/>
    <mergeCell ref="R24:S24"/>
    <mergeCell ref="W23:X23"/>
    <mergeCell ref="W24:X24"/>
    <mergeCell ref="R23:S23"/>
    <mergeCell ref="C24:D24"/>
    <mergeCell ref="H23:I23"/>
    <mergeCell ref="H24:I24"/>
    <mergeCell ref="M23:N23"/>
    <mergeCell ref="M24:N24"/>
    <mergeCell ref="C5:F5"/>
    <mergeCell ref="H5:K5"/>
    <mergeCell ref="M5:P5"/>
    <mergeCell ref="R5:U5"/>
    <mergeCell ref="W5:Z5"/>
    <mergeCell ref="C8:D8"/>
    <mergeCell ref="H8:I8"/>
    <mergeCell ref="M8:N8"/>
    <mergeCell ref="R8:S8"/>
    <mergeCell ref="W8:X8"/>
    <mergeCell ref="C7:D7"/>
    <mergeCell ref="H7:I7"/>
    <mergeCell ref="M7:N7"/>
    <mergeCell ref="R7:S7"/>
    <mergeCell ref="W7:X7"/>
    <mergeCell ref="C11:D11"/>
    <mergeCell ref="H11:I11"/>
    <mergeCell ref="M11:N11"/>
    <mergeCell ref="R11:S11"/>
    <mergeCell ref="W11:X11"/>
    <mergeCell ref="B27:H27"/>
    <mergeCell ref="C6:F6"/>
    <mergeCell ref="H6:K6"/>
    <mergeCell ref="M6:P6"/>
    <mergeCell ref="R6:U6"/>
    <mergeCell ref="W6:Z6"/>
    <mergeCell ref="C10:D10"/>
    <mergeCell ref="H10:I10"/>
    <mergeCell ref="M10:N10"/>
    <mergeCell ref="R10:S10"/>
    <mergeCell ref="W10:X10"/>
    <mergeCell ref="R14:S14"/>
    <mergeCell ref="W16:X16"/>
    <mergeCell ref="R17:S17"/>
    <mergeCell ref="R18:S18"/>
    <mergeCell ref="R19:S19"/>
    <mergeCell ref="R22:U22"/>
    <mergeCell ref="W22:Z22"/>
    <mergeCell ref="C14:D14"/>
    <mergeCell ref="AB2:AE2"/>
    <mergeCell ref="AB3:AE3"/>
    <mergeCell ref="W17:X17"/>
    <mergeCell ref="C13:D13"/>
    <mergeCell ref="H13:I13"/>
    <mergeCell ref="M13:N13"/>
    <mergeCell ref="R13:S13"/>
    <mergeCell ref="C15:D15"/>
    <mergeCell ref="H15:I15"/>
    <mergeCell ref="M15:N15"/>
    <mergeCell ref="R15:S15"/>
    <mergeCell ref="W15:X15"/>
    <mergeCell ref="W14:X14"/>
    <mergeCell ref="W13:X13"/>
    <mergeCell ref="C9:D9"/>
    <mergeCell ref="H9:I9"/>
    <mergeCell ref="M9:N9"/>
    <mergeCell ref="R9:S9"/>
    <mergeCell ref="W9:X9"/>
    <mergeCell ref="C12:D12"/>
    <mergeCell ref="H12:I12"/>
    <mergeCell ref="M12:N12"/>
    <mergeCell ref="R12:S12"/>
    <mergeCell ref="W12:X12"/>
  </mergeCells>
  <conditionalFormatting sqref="W7:W17">
    <cfRule type="expression" dxfId="19" priority="22">
      <formula>OR(WEEKDAY(Z7)=1,WEEKDAY(Z7)=7)</formula>
    </cfRule>
  </conditionalFormatting>
  <conditionalFormatting sqref="Y7:Y17">
    <cfRule type="expression" dxfId="18" priority="21">
      <formula>OR(WEEKDAY(Z7)=1,WEEKDAY(Z7)=7)</formula>
    </cfRule>
  </conditionalFormatting>
  <conditionalFormatting sqref="Z7:Z17">
    <cfRule type="expression" dxfId="17" priority="20">
      <formula>OR(WEEKDAY(Z7)=1,WEEKDAY(Z7)=7)</formula>
    </cfRule>
  </conditionalFormatting>
  <conditionalFormatting sqref="AB7:AB17">
    <cfRule type="expression" dxfId="16" priority="19">
      <formula>OR(WEEKDAY(AE7)=1,WEEKDAY(AE7)=7)</formula>
    </cfRule>
  </conditionalFormatting>
  <conditionalFormatting sqref="AD7:AD17">
    <cfRule type="expression" dxfId="15" priority="18">
      <formula>OR(WEEKDAY(AE7)=1,WEEKDAY(AE7)=7)</formula>
    </cfRule>
  </conditionalFormatting>
  <conditionalFormatting sqref="AE7:AE17">
    <cfRule type="expression" dxfId="14" priority="17">
      <formula>OR(WEEKDAY(AE7)=1,WEEKDAY(AE7)=7)</formula>
    </cfRule>
  </conditionalFormatting>
  <conditionalFormatting sqref="E23:E24 J23:J24 O23:O24 T23:T24 Y23:Y24 AD23:AD24">
    <cfRule type="expression" dxfId="13" priority="15">
      <formula>OR(WEEKDAY(F7)=1,WEEKDAY(XEK7)=7)</formula>
    </cfRule>
  </conditionalFormatting>
  <conditionalFormatting sqref="F23:F24 K23:K24 P23:P24 U23:U24 Z23:Z24 AE23:AE24">
    <cfRule type="expression" dxfId="12" priority="13">
      <formula>OR(WEEKDAY(XEK23)=1,WEEKDAY(XEK23)=7)</formula>
    </cfRule>
  </conditionalFormatting>
  <conditionalFormatting sqref="U7:U19">
    <cfRule type="expression" dxfId="11" priority="12">
      <formula>OR(WEEKDAY(U7)=1,WEEKDAY(U7)=7)</formula>
    </cfRule>
  </conditionalFormatting>
  <conditionalFormatting sqref="T7:T19">
    <cfRule type="expression" dxfId="10" priority="11">
      <formula>OR(WEEKDAY(U7)=1,WEEKDAY(U7)=7)</formula>
    </cfRule>
  </conditionalFormatting>
  <conditionalFormatting sqref="R7:R19">
    <cfRule type="expression" dxfId="9" priority="10">
      <formula>OR(WEEKDAY(U7)=1,WEEKDAY(U7)=7)</formula>
    </cfRule>
  </conditionalFormatting>
  <conditionalFormatting sqref="P7:P16">
    <cfRule type="expression" dxfId="8" priority="9">
      <formula>OR(WEEKDAY(P7)=1,WEEKDAY(P7)=7)</formula>
    </cfRule>
  </conditionalFormatting>
  <conditionalFormatting sqref="O7:O16">
    <cfRule type="expression" dxfId="7" priority="8">
      <formula>OR(WEEKDAY(P7)=1,WEEKDAY(P7)=7)</formula>
    </cfRule>
  </conditionalFormatting>
  <conditionalFormatting sqref="M7:M16">
    <cfRule type="expression" dxfId="6" priority="7">
      <formula>OR(WEEKDAY(P7)=1,WEEKDAY(P7)=7)</formula>
    </cfRule>
  </conditionalFormatting>
  <conditionalFormatting sqref="K7:K17">
    <cfRule type="expression" dxfId="5" priority="6">
      <formula>OR(WEEKDAY(K7)=1,WEEKDAY(K7)=7)</formula>
    </cfRule>
  </conditionalFormatting>
  <conditionalFormatting sqref="J7:J17">
    <cfRule type="expression" dxfId="4" priority="5">
      <formula>OR(WEEKDAY(K7)=1,WEEKDAY(K7)=7)</formula>
    </cfRule>
  </conditionalFormatting>
  <conditionalFormatting sqref="H7:H17">
    <cfRule type="expression" dxfId="3" priority="4">
      <formula>OR(WEEKDAY(K7)=1,WEEKDAY(K7)=7)</formula>
    </cfRule>
  </conditionalFormatting>
  <conditionalFormatting sqref="F7:F17">
    <cfRule type="expression" dxfId="2" priority="3">
      <formula>OR(WEEKDAY(F7)=1,WEEKDAY(F7)=7)</formula>
    </cfRule>
  </conditionalFormatting>
  <conditionalFormatting sqref="E7:E17">
    <cfRule type="expression" dxfId="1" priority="2">
      <formula>OR(WEEKDAY(F7)=1,WEEKDAY(F7)=7)</formula>
    </cfRule>
  </conditionalFormatting>
  <conditionalFormatting sqref="C7:C17">
    <cfRule type="expression" dxfId="0" priority="1">
      <formula>OR(WEEKDAY(F7)=1,WEEKDAY(F7)=7)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86</vt:i4>
      </vt:variant>
    </vt:vector>
  </HeadingPairs>
  <TitlesOfParts>
    <vt:vector size="96" baseType="lpstr">
      <vt:lpstr>Mode d'emploi</vt:lpstr>
      <vt:lpstr>Calendrier</vt:lpstr>
      <vt:lpstr>Jours Fér. Lu</vt:lpstr>
      <vt:lpstr>Jours Fér. Be</vt:lpstr>
      <vt:lpstr>Jours Fér. Fr</vt:lpstr>
      <vt:lpstr>Jours Fér. All</vt:lpstr>
      <vt:lpstr>Jours Fér. Pt</vt:lpstr>
      <vt:lpstr>J. F. + Vac. Scol. Lux</vt:lpstr>
      <vt:lpstr>Jours fériés</vt:lpstr>
      <vt:lpstr>Mode emploi calcul JF</vt:lpstr>
      <vt:lpstr>Anoall</vt:lpstr>
      <vt:lpstr>Anobe</vt:lpstr>
      <vt:lpstr>Anofr</vt:lpstr>
      <vt:lpstr>Anolu</vt:lpstr>
      <vt:lpstr>Anopri</vt:lpstr>
      <vt:lpstr>Anopt</vt:lpstr>
      <vt:lpstr>Anovaclu</vt:lpstr>
      <vt:lpstr>'Mode emploi calcul JF'!déb_ca_1</vt:lpstr>
      <vt:lpstr>déb_ca_1</vt:lpstr>
      <vt:lpstr>'Mode emploi calcul JF'!déb_ca_2</vt:lpstr>
      <vt:lpstr>déb_ca_2</vt:lpstr>
      <vt:lpstr>'Mode emploi calcul JF'!déb_ca_3</vt:lpstr>
      <vt:lpstr>déb_ca_3</vt:lpstr>
      <vt:lpstr>'Mode emploi calcul JF'!déb_été_1</vt:lpstr>
      <vt:lpstr>déb_été_1</vt:lpstr>
      <vt:lpstr>'Mode emploi calcul JF'!déb_été_2</vt:lpstr>
      <vt:lpstr>déb_été_2</vt:lpstr>
      <vt:lpstr>'Mode emploi calcul JF'!déb_été_3</vt:lpstr>
      <vt:lpstr>déb_été_3</vt:lpstr>
      <vt:lpstr>'Mode emploi calcul JF'!déb_no_1</vt:lpstr>
      <vt:lpstr>déb_no_1</vt:lpstr>
      <vt:lpstr>'Mode emploi calcul JF'!déb_no_2</vt:lpstr>
      <vt:lpstr>déb_no_2</vt:lpstr>
      <vt:lpstr>'Mode emploi calcul JF'!déb_no_3</vt:lpstr>
      <vt:lpstr>déb_no_3</vt:lpstr>
      <vt:lpstr>'Mode emploi calcul JF'!déb_pa_1</vt:lpstr>
      <vt:lpstr>déb_pa_1</vt:lpstr>
      <vt:lpstr>'Mode emploi calcul JF'!déb_pa_2</vt:lpstr>
      <vt:lpstr>déb_pa_2</vt:lpstr>
      <vt:lpstr>'Mode emploi calcul JF'!déb_pa_3</vt:lpstr>
      <vt:lpstr>déb_pa_3</vt:lpstr>
      <vt:lpstr>'Mode emploi calcul JF'!déb_pe_1</vt:lpstr>
      <vt:lpstr>déb_pe_1</vt:lpstr>
      <vt:lpstr>'Mode emploi calcul JF'!déb_pe_2</vt:lpstr>
      <vt:lpstr>déb_pe_2</vt:lpstr>
      <vt:lpstr>'Mode emploi calcul JF'!déb_pe_3</vt:lpstr>
      <vt:lpstr>déb_pe_3</vt:lpstr>
      <vt:lpstr>'Mode emploi calcul JF'!déb_to_1</vt:lpstr>
      <vt:lpstr>déb_to_1</vt:lpstr>
      <vt:lpstr>'Mode emploi calcul JF'!déb_to_2</vt:lpstr>
      <vt:lpstr>déb_to_2</vt:lpstr>
      <vt:lpstr>'Mode emploi calcul JF'!déb_to_3</vt:lpstr>
      <vt:lpstr>déb_to_3</vt:lpstr>
      <vt:lpstr>Débutsemall</vt:lpstr>
      <vt:lpstr>Débutsembe</vt:lpstr>
      <vt:lpstr>Débutsemfr</vt:lpstr>
      <vt:lpstr>Débutsemlu</vt:lpstr>
      <vt:lpstr>Débutsempri</vt:lpstr>
      <vt:lpstr>Débutsempt</vt:lpstr>
      <vt:lpstr>Débutsemvaclu</vt:lpstr>
      <vt:lpstr>'Mode emploi calcul JF'!fin_ca_1</vt:lpstr>
      <vt:lpstr>fin_ca_1</vt:lpstr>
      <vt:lpstr>'Mode emploi calcul JF'!fin_ca_2</vt:lpstr>
      <vt:lpstr>fin_ca_2</vt:lpstr>
      <vt:lpstr>'Mode emploi calcul JF'!fin_ca_3</vt:lpstr>
      <vt:lpstr>fin_ca_3</vt:lpstr>
      <vt:lpstr>'Mode emploi calcul JF'!fin_été_1</vt:lpstr>
      <vt:lpstr>fin_été_1</vt:lpstr>
      <vt:lpstr>'Mode emploi calcul JF'!fin_été_2</vt:lpstr>
      <vt:lpstr>fin_été_2</vt:lpstr>
      <vt:lpstr>'Mode emploi calcul JF'!fin_été_3</vt:lpstr>
      <vt:lpstr>fin_été_3</vt:lpstr>
      <vt:lpstr>'Mode emploi calcul JF'!fin_no_1</vt:lpstr>
      <vt:lpstr>fin_no_1</vt:lpstr>
      <vt:lpstr>'Mode emploi calcul JF'!fin_no_2</vt:lpstr>
      <vt:lpstr>fin_no_2</vt:lpstr>
      <vt:lpstr>'Mode emploi calcul JF'!fin_no_3</vt:lpstr>
      <vt:lpstr>fin_no_3</vt:lpstr>
      <vt:lpstr>'Mode emploi calcul JF'!fin_pa_1</vt:lpstr>
      <vt:lpstr>fin_pa_1</vt:lpstr>
      <vt:lpstr>'Mode emploi calcul JF'!fin_pa_2</vt:lpstr>
      <vt:lpstr>fin_pa_2</vt:lpstr>
      <vt:lpstr>'Mode emploi calcul JF'!fin_pa_3</vt:lpstr>
      <vt:lpstr>fin_pa_3</vt:lpstr>
      <vt:lpstr>'Mode emploi calcul JF'!fin_pe_1</vt:lpstr>
      <vt:lpstr>fin_pe_1</vt:lpstr>
      <vt:lpstr>'Mode emploi calcul JF'!fin_pe_2</vt:lpstr>
      <vt:lpstr>fin_pe_2</vt:lpstr>
      <vt:lpstr>'Mode emploi calcul JF'!fin_pe_3</vt:lpstr>
      <vt:lpstr>fin_pe_3</vt:lpstr>
      <vt:lpstr>'Mode emploi calcul JF'!fin_to_1</vt:lpstr>
      <vt:lpstr>fin_to_1</vt:lpstr>
      <vt:lpstr>'Mode emploi calcul JF'!fin_to_2</vt:lpstr>
      <vt:lpstr>fin_to_2</vt:lpstr>
      <vt:lpstr>'Mode emploi calcul JF'!fin_to_3</vt:lpstr>
      <vt:lpstr>fin_to_3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2019-01-30T16:14:04Z</cp:lastPrinted>
  <dcterms:created xsi:type="dcterms:W3CDTF">2019-01-28T10:25:19Z</dcterms:created>
  <dcterms:modified xsi:type="dcterms:W3CDTF">2019-04-16T23:24:00Z</dcterms:modified>
</cp:coreProperties>
</file>